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24226"/>
  <mc:AlternateContent xmlns:mc="http://schemas.openxmlformats.org/markup-compatibility/2006">
    <mc:Choice Requires="x15">
      <x15ac:absPath xmlns:x15ac="http://schemas.microsoft.com/office/spreadsheetml/2010/11/ac" url="C:\01.MARKETING DIGITAL\2. HOSPITAL LA INMACULADA DE GUATAPE\CONTROL\"/>
    </mc:Choice>
  </mc:AlternateContent>
  <xr:revisionPtr revIDLastSave="0" documentId="8_{F1B823F4-8465-467A-A467-0B234E9BACA5}" xr6:coauthVersionLast="46" xr6:coauthVersionMax="46" xr10:uidLastSave="{00000000-0000-0000-0000-000000000000}"/>
  <bookViews>
    <workbookView xWindow="-120" yWindow="-120" windowWidth="29040" windowHeight="15840" activeTab="3" xr2:uid="{00000000-000D-0000-FFFF-FFFF00000000}"/>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91029" iterateDelta="1E-4"/>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<sst xmlns="http://schemas.openxmlformats.org/spreadsheetml/2006/main" count="512" uniqueCount="237">
  <si>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</si>
  <si>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</si>
  <si>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</si>
  <si>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</si>
  <si>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</si>
  <si>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</si>
  <si>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</si>
  <si>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</si>
  <si>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</si>
  <si>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</si>
  <si>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</si>
  <si>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</si>
  <si>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</si>
  <si>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</si>
  <si>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</si>
  <si>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</si>
  <si>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</si>
  <si>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</si>
  <si>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</si>
  <si>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</si>
  <si>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</si>
  <si>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</si>
  <si>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</si>
  <si>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</si>
  <si>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</si>
  <si>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</si>
  <si>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</si>
  <si>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</si>
  <si>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</si>
  <si>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</si>
  <si>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</si>
  <si>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</si>
  <si>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</si>
  <si>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</si>
  <si>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</si>
  <si>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</si>
  <si>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</si>
  <si>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</si>
  <si>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</si>
  <si>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</si>
  <si>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</si>
  <si>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</si>
  <si>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</si>
  <si>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</si>
  <si>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</si>
  <si>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</si>
  <si>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</si>
  <si>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</si>
  <si>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</si>
  <si>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</si>
  <si>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</si>
  <si>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</si>
  <si>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</si>
  <si>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</si>
  <si>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</si>
  <si>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</si>
  <si>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</si>
  <si>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</si>
  <si>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</si>
  <si>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</si>
  <si>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</si>
  <si>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</si>
  <si>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</si>
  <si>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</si>
  <si>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</si>
  <si>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</si>
  <si>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</si>
  <si>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</si>
  <si>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</si>
  <si>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</si>
  <si>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</si>
  <si>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</si>
  <si>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</si>
  <si>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</si>
  <si>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</si>
  <si>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</si>
  <si>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</si>
  <si>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</si>
  <si>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</si>
  <si>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</si>
  <si>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</si>
  <si>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</si>
  <si>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</si>
  <si>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</si>
  <si>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</si>
  <si>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</si>
  <si>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</si>
  <si>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</si>
  <si>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</si>
  <si>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</si>
  <si>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</si>
  <si>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</si>
  <si>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</si>
  <si>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</si>
  <si>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</si>
  <si>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</si>
  <si>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</si>
  <si>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</si>
  <si>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</si>
  <si>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</si>
  <si>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</si>
  <si>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</si>
  <si>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</si>
  <si>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</si>
  <si>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</si>
  <si>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</si>
  <si>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</si>
  <si>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</si>
  <si>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</si>
  <si>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</si>
  <si>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</si>
  <si>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</si>
  <si>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</si>
  <si>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</si>
  <si>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</si>
  <si>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</si>
  <si>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</si>
  <si>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</si>
  <si>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</si>
  <si>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</si>
  <si>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</si>
  <si>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</si>
  <si>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</si>
  <si>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</si>
  <si>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</si>
  <si>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</si>
  <si>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</si>
  <si>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</si>
  <si>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</si>
  <si>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</si>
  <si>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</si>
  <si>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</si>
  <si>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</si>
  <si>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</si>
  <si>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</si>
  <si>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</si>
  <si>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</si>
  <si>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</si>
  <si>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</si>
  <si>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</si>
  <si>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</si>
  <si>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</si>
  <si>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</si>
  <si>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</si>
  <si>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</si>
  <si>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</si>
  <si>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</si>
  <si>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</si>
  <si>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</si>
  <si>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</si>
  <si>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</si>
  <si>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</si>
  <si>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</si>
  <si>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</si>
  <si>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</si>
  <si>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</si>
  <si>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</si>
  <si>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</si>
  <si>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</si>
  <si>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</si>
  <si>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</si>
  <si>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</si>
  <si>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</si>
  <si>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</si>
  <si>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</si>
  <si>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</si>
  <si>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</si>
  <si>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</si>
  <si>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</si>
  <si>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</si>
  <si>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</si>
  <si>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</si>
  <si>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</si>
  <si>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</si>
  <si>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</si>
  <si>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</si>
  <si>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</si>
  <si>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</si>
  <si>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</si>
  <si>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</si>
  <si>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</si>
  <si>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</si>
  <si>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</si>
  <si>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</si>
  <si>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</si>
  <si>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</si>
  <si>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</si>
  <si>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</si>
  <si>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</si>
  <si>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</si>
  <si>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</si>
  <si>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Se iniciaron acciones de seguimiento a los planes diseñados aunque sólo se alcanzó un grado incipiente de impacto</t>
  </si>
  <si>
    <t xml:space="preserve">Falta código de integridad. Se construyeron plataforma estratégica, misión, visión, valores y princiopios. Falta código de integridad. </t>
  </si>
  <si>
    <t>Si bien es cierto existe un manual de funciones para los servidores, éste se encuentra desactualizado</t>
  </si>
  <si>
    <t>En el momento la entidad cuenta con casi todos sus proceso y procedimientos documentados, sin embargo, dicha documentación debe ser actualizada</t>
  </si>
  <si>
    <t>La entidad tiene formulados los procesos de inducción, capacitación y bienestar, pero su implementación fue incipiente.</t>
  </si>
  <si>
    <t>La entidad no cuenta con definición de procesos de desvinculación de servidores que se ajuste a lo previsto en la norma.</t>
  </si>
  <si>
    <t>La entidad no llevó a cabo las evaluaciones de los funconarios, dado que no cuenta con servidores en carrera administrativa</t>
  </si>
  <si>
    <t>La entidad realizó la rendición de cuentas conforme la normativa, en lo que respecta tanto a los medios, como a las fechas y los contenidos.</t>
  </si>
  <si>
    <t>La entidad realizó la presentación de informes conforme la normativa, en lo que respecta tanto a los medios, como a las fechas y los contenidos.</t>
  </si>
  <si>
    <t>La entidad realizó la identifiación de los factores del entorno y éstos fueron incluidos en el plan de desarrollo (factores crítico internos y externos)</t>
  </si>
  <si>
    <t>La entidad realizó la identifiación de los potenciales problemas o aspectos que pudieran afectar los planes y éstos fueron incluidos en el plan de desarrollo (factores crítico internos y externos)</t>
  </si>
  <si>
    <t>La entidad no cuenta con un mapa de riesgos que incluya dichos aspectos, Sin embargo, la entidad cuenta con un plan anticorrupción</t>
  </si>
  <si>
    <t>La entidad no cuenta con un mapa de riesgos que incluya dichos aspectos, Sin embargo, la entidad cuenta con un plan estratégico de las tecnologías y las telecomunicaciones</t>
  </si>
  <si>
    <t>Al no contar con un mapa de riesgos, la entidad no ejecuta acciones de seguimiento, gestión, control, manejo de la materialización y ajustes a los mismos</t>
  </si>
  <si>
    <t>Si bien es cierto que la entidad cuenta con instancias para el análisis y manjeo de los problemas institucionales (comités), aún no se cuenta con acciones sistemáticas de seguimiento y ajuste de acciones, lo que hace que la gestión sea mayormente reactiva</t>
  </si>
  <si>
    <t>Si bien es cierto que la entidad cuenta con instancias para el análisis y manejo de los problemas institucionales (comités), aún no se cuenta con acciones sistemáticas de seguimiento y ajuste de acciones, lo que hace que la gestión sea mayormente reactiva</t>
  </si>
  <si>
    <t>La entidad no cuenta con un mapa de riesgos que incluya dichos aspectos, por lo que aún no se cuenta con acciones sistemáticas de seguimiento y ajuste de acciones Sin embargo, la entidad cuenta con un plan anticorrupción.</t>
  </si>
  <si>
    <t>La entidad no cuenta con un mapa de riesgos que incluya dichos aspectos, por lo que aún no se cuenta con acciones sistemáticas de seguimiento y ajuste de acciones Sin embargo, la entidad cuenta con un plan anticorrupción y un plan estratégico para las tecnologías de la información y las comunicaciones.</t>
  </si>
  <si>
    <t>Se elaboró l plan anticorrupción, al cual se le instauraron las respectivas acciones de seguimiento</t>
  </si>
  <si>
    <t>La institución definió que la Jefe de Control Interno es la responsable de la información institucional</t>
  </si>
  <si>
    <t>La entidad cuenta con diversos canales de comunicación a los ciudadanos tales como la oficina de atención e información al usuario (SIAU), página web y líeas telefónicas</t>
  </si>
  <si>
    <t>Adicional a los canales virtuales de acceso activo a la información, la entidad realiza los Reportes institucionales, Plataforma SIHO Decreto. 2193 de 2004</t>
  </si>
  <si>
    <t>La institución aún no define lineamientos para la generación, clasificación, tratamiento y custodia de la información considerada como reservada, salvo aquella atiente a la información clínica de los usuarios, contenida en la historia clínica y sus anexos.</t>
  </si>
  <si>
    <t>La institución aún no cuenta con un catálogo de la información que produce.</t>
  </si>
  <si>
    <t>La entidad realizó la documentación y publicación del normograma, presupuesto, talento humano, infraestructura física y tecnológica, la cual se publicó y se desplegó conforme la normativa.</t>
  </si>
  <si>
    <t>La institución realizó la actulización de la página web, tanto en infraestructura y como en sus contenidos, de acuerdo a lo estipilado por la normativa vigente.</t>
  </si>
  <si>
    <t>Si bien es cierto que la entidad cuenta con cuadros de mando, la utilización de los mismos es aún incipiente</t>
  </si>
  <si>
    <t>La líder de Control Interno es quien ejecuta las acciones de control.</t>
  </si>
  <si>
    <t>Aún no se tienen defiinidos e instaurados las acciones correctivas en caso de encontrarse desviaciones</t>
  </si>
  <si>
    <t>La entidad no cuenta con participación en al Comité Municipal de Control Interno</t>
  </si>
  <si>
    <t>En este momento se está estrucutrando el mapa de riesgos de la institución, lo cual permitirá la gestión de los mismos.</t>
  </si>
  <si>
    <t>Se empieza la revisión del manual de procesos y procedmiento con miras a la actualización. Alli se definirán los puntos de control y se documentarán los mecanismos de monitoreo</t>
  </si>
  <si>
    <t>Al estar el mapa de proceso en construcción, aún no se cuenta con mediciones que permitan determinar el grado de adherencia en la ejecución de las acciones.</t>
  </si>
  <si>
    <t>Al estar el mapa de proceso en construcción, aún no se cuenta con mediciones que permitan determinar el grado de adherencia en la ejecución de las acciones y por lo tanto, todavía no inicia la gestión de los problemas que afecte el desempeño.</t>
  </si>
  <si>
    <t>La entidad cuenta con un organigrama formalmente adoptado.</t>
  </si>
  <si>
    <t>La institución tiene los servidores bajo la modalidad de provisonalidad.</t>
  </si>
  <si>
    <t>Se contruyeron durante 2020 los planes estrategicos y el plan de gestión. Para 2021 se construyeron la totalidad de los planes integrados</t>
  </si>
  <si>
    <t>La entidad no cuenta con un documento actualizado de apoción del MECI</t>
  </si>
  <si>
    <t>Al momento, la institución se encuentra en diversas etapas de las fases de construcción, documentación e implementación de varios de sus componentes estructurales y funcionales, incluyendo aquellos de control interno, ajustándolos a las necesidades normativas y de operación, con miras a que se encuentren articulados de forma coherente. Por lo tanto, la operación conjunta e integrada de dichos componentes se encuentra aún en un grado incipiente.</t>
  </si>
  <si>
    <t xml:space="preserve">Al estar varios de los componentes institucionales en fase de construcción y afianzamiento, el sistema de control interno aún no es efectivo para los objetivos evaluados, dado que no se cuenta con definición de puntos de control y herramientas de ejecución de los mismos.  </t>
  </si>
  <si>
    <t>La entidad aún no cuenta con un sistema de control interno con la madurez requerida para la toma de decisiones frente al control. Pese a lo anterior, se ha avanzado de forma considerable en la construcción de los elementos que le permitirán a la entidad llevar a caabo las acciones concernientes. Ello se manifiesta en el cambio del estado de control interno de la entidad, si se compara con el obtenido en el periodo anterior</t>
  </si>
  <si>
    <t>Pese al significativo avance con respecto al periodo anterior, la entidad debe realizar las acciones tendientes a fortalecer el ambiente de control, principalmente la actualización de los procesos y procedmientos y la adopción actualizada de un documento MECI.</t>
  </si>
  <si>
    <t>La entidad debe ejecutar las acciones que le permitan el cumplimiento del componente de evaluación del riesgo, principalmente la elaboración del mapa de riesgos, ya que es elemento fundamental y del cual se derivan las demás acciones de este componente, incluyendo la interposición de barreras de mitigación en los puntos encontrados como críticos dentro de la ejecución de procesos institucionales.</t>
  </si>
  <si>
    <t>El avance de este componente será la consecuencia del diseño e implementación de los mecanismos correctivos necesarios para el manejo de las desviaciones encontradas. La institución deberá hacer operacionales aspectos como auditorías de control interno, comités, análisis de indicadores y definir las acciones de cintingencia en caso de materialización de los riesgos.</t>
  </si>
  <si>
    <t>Al carecer de un mapa de riesgos, las actividades de control son prominentemente reactivas, convirtiéndose en el componente de mayor debilidad en la institución. Sin embargo, la institución ha venido realizando esfuerzos tales como la elaboración de planes integrados, los cuales posibilitan la mitigación en bloque. Para lograr el cumplimiento de este componente, se deben ejecutar las acciones tendientes a la gestión de los problemas identificados. Ello será la consecuencia directa de la definición del mapa riesgos y puntos y mecanismos de control.</t>
  </si>
  <si>
    <t>Este es el componente que mayor avance alcanzó durante el periodo. Esto obedeció al cumplimiento de las directirces de acceso a la información pública y de gobierno en línea. La entidad deberá, sin embargo, realizar el inventario de la información institucional y la clasificación de la misma, así como definir el manejo de la información considerada como de carácter reservado.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</si>
</sst>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0"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
      <sz val="16"/>
      <color theme="1"/>
      <name val="Arial"/>
      <family val="2"/>
    </font>
    <font>
      <sz val="16"/>
      <name val="Arial"/>
      <family val="2"/>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29">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0" fillId="4" borderId="0" xfId="0" applyFill="1" applyBorder="1"/>
    <xf numFmtId="0" fontId="7" fillId="4" borderId="0" xfId="0" applyFont="1" applyFill="1" applyBorder="1" applyAlignment="1">
      <alignment horizontal="center"/>
    </xf>
    <xf numFmtId="0" fontId="0" fillId="4" borderId="21" xfId="0" applyFill="1" applyBorder="1"/>
    <xf numFmtId="164" fontId="7" fillId="4" borderId="0" xfId="0" applyNumberFormat="1" applyFont="1" applyFill="1" applyBorder="1" applyAlignment="1">
      <alignment horizontal="center"/>
    </xf>
    <xf numFmtId="0" fontId="8" fillId="4" borderId="0" xfId="0" applyFont="1" applyFill="1" applyBorder="1" applyAlignment="1">
      <alignment vertical="center"/>
    </xf>
    <xf numFmtId="0" fontId="10" fillId="4" borderId="0" xfId="0" applyFont="1" applyFill="1" applyBorder="1" applyAlignment="1">
      <alignment horizontal="center" vertical="center"/>
    </xf>
    <xf numFmtId="0" fontId="11" fillId="4" borderId="0" xfId="0" applyFont="1" applyFill="1" applyBorder="1"/>
    <xf numFmtId="0" fontId="9" fillId="4" borderId="0"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0"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Alignment="1">
      <alignment wrapText="1"/>
    </xf>
    <xf numFmtId="0" fontId="0" fillId="0" borderId="0" xfId="0" applyBorder="1"/>
    <xf numFmtId="0" fontId="5" fillId="0" borderId="0" xfId="0" applyFont="1" applyFill="1" applyBorder="1" applyAlignment="1">
      <alignment vertical="center"/>
    </xf>
    <xf numFmtId="9" fontId="2" fillId="0" borderId="0" xfId="0" applyNumberFormat="1" applyFont="1" applyFill="1" applyBorder="1" applyAlignment="1">
      <alignment vertical="center"/>
    </xf>
    <xf numFmtId="0" fontId="2" fillId="4" borderId="21" xfId="0" applyFont="1" applyFill="1" applyBorder="1" applyAlignment="1">
      <alignment vertical="center"/>
    </xf>
    <xf numFmtId="0" fontId="2" fillId="4" borderId="0" xfId="0" applyFont="1" applyFill="1" applyBorder="1" applyAlignment="1">
      <alignment vertical="center"/>
    </xf>
    <xf numFmtId="0" fontId="0" fillId="0" borderId="0" xfId="0" applyFill="1" applyBorder="1"/>
    <xf numFmtId="0" fontId="0" fillId="0" borderId="3" xfId="0" applyBorder="1"/>
    <xf numFmtId="0" fontId="5" fillId="4" borderId="0" xfId="0" applyFont="1" applyFill="1" applyBorder="1" applyAlignment="1">
      <alignment vertical="center"/>
    </xf>
    <xf numFmtId="0" fontId="2" fillId="4" borderId="0" xfId="0" applyFont="1" applyFill="1" applyBorder="1" applyAlignment="1">
      <alignment horizontal="left" vertical="center"/>
    </xf>
    <xf numFmtId="0" fontId="15" fillId="4" borderId="0" xfId="0" applyFont="1" applyFill="1" applyBorder="1" applyAlignment="1">
      <alignment vertical="center"/>
    </xf>
    <xf numFmtId="0" fontId="16" fillId="4" borderId="0" xfId="0" applyFont="1" applyFill="1" applyBorder="1"/>
    <xf numFmtId="0" fontId="0" fillId="4" borderId="34" xfId="0" applyFill="1" applyBorder="1"/>
    <xf numFmtId="0" fontId="0" fillId="4" borderId="35" xfId="0" applyFill="1" applyBorder="1"/>
    <xf numFmtId="0" fontId="0" fillId="4" borderId="36" xfId="0" applyFill="1" applyBorder="1"/>
    <xf numFmtId="0" fontId="20" fillId="0" borderId="0" xfId="0" applyFont="1" applyBorder="1" applyAlignment="1">
      <alignment horizontal="center" wrapText="1"/>
    </xf>
    <xf numFmtId="0" fontId="5" fillId="4" borderId="0" xfId="0" applyFont="1" applyFill="1" applyBorder="1" applyAlignment="1">
      <alignment horizontal="center" vertical="center" wrapText="1"/>
    </xf>
    <xf numFmtId="0" fontId="4" fillId="4" borderId="0" xfId="0" applyFont="1" applyFill="1" applyBorder="1"/>
    <xf numFmtId="0" fontId="5" fillId="4" borderId="0" xfId="0" applyFont="1" applyFill="1" applyBorder="1" applyAlignment="1">
      <alignment horizontal="left" vertical="center"/>
    </xf>
    <xf numFmtId="9" fontId="5" fillId="4" borderId="0" xfId="0" applyNumberFormat="1" applyFont="1" applyFill="1" applyBorder="1" applyAlignment="1">
      <alignment horizontal="center" vertical="center"/>
    </xf>
    <xf numFmtId="0" fontId="4" fillId="4" borderId="0" xfId="0" applyFont="1" applyFill="1" applyBorder="1" applyAlignment="1">
      <alignment horizontal="left"/>
    </xf>
    <xf numFmtId="0" fontId="22" fillId="0" borderId="0" xfId="2" applyFont="1" applyFill="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applyProtection="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applyBorder="1" applyProtection="1"/>
    <xf numFmtId="0" fontId="26" fillId="4" borderId="59" xfId="3" applyFont="1" applyFill="1" applyBorder="1" applyAlignment="1" applyProtection="1">
      <alignment vertical="top" wrapText="1"/>
    </xf>
    <xf numFmtId="0" fontId="26" fillId="4" borderId="0" xfId="3" applyFont="1" applyFill="1" applyBorder="1" applyAlignment="1" applyProtection="1">
      <alignment vertical="top" wrapText="1"/>
    </xf>
    <xf numFmtId="0" fontId="26" fillId="4" borderId="60" xfId="3" applyFont="1" applyFill="1" applyBorder="1" applyAlignment="1" applyProtection="1">
      <alignment vertical="top" wrapText="1"/>
    </xf>
    <xf numFmtId="0" fontId="26" fillId="4" borderId="59" xfId="3" applyFont="1" applyFill="1" applyBorder="1" applyAlignment="1" applyProtection="1">
      <alignment horizontal="left" vertical="top"/>
    </xf>
    <xf numFmtId="0" fontId="26" fillId="4" borderId="60" xfId="3" applyFont="1" applyFill="1" applyBorder="1" applyAlignment="1" applyProtection="1">
      <alignment horizontal="left" vertical="top"/>
    </xf>
    <xf numFmtId="0" fontId="26" fillId="4" borderId="59" xfId="3" applyFont="1" applyFill="1" applyBorder="1" applyProtection="1"/>
    <xf numFmtId="0" fontId="34" fillId="4" borderId="0" xfId="4" applyFont="1" applyFill="1" applyBorder="1" applyAlignment="1" applyProtection="1">
      <alignment horizontal="left" vertical="top" wrapText="1" readingOrder="1"/>
    </xf>
    <xf numFmtId="0" fontId="26" fillId="4" borderId="60" xfId="3" applyFont="1" applyFill="1" applyBorder="1" applyProtection="1"/>
    <xf numFmtId="0" fontId="26" fillId="4" borderId="72" xfId="3" applyFont="1" applyFill="1" applyBorder="1" applyProtection="1"/>
    <xf numFmtId="0" fontId="26" fillId="4" borderId="73" xfId="3" applyFont="1" applyFill="1" applyBorder="1" applyProtection="1"/>
    <xf numFmtId="0" fontId="26" fillId="4" borderId="74" xfId="3" applyFont="1" applyFill="1" applyBorder="1" applyProtection="1"/>
    <xf numFmtId="0" fontId="34" fillId="4" borderId="0" xfId="0" applyFont="1" applyFill="1" applyBorder="1" applyAlignment="1" applyProtection="1">
      <alignment horizontal="left" vertical="center" wrapText="1"/>
    </xf>
    <xf numFmtId="0" fontId="35" fillId="4" borderId="0" xfId="0" applyFont="1" applyFill="1" applyBorder="1" applyAlignment="1" applyProtection="1">
      <alignment horizontal="left" vertical="top" wrapText="1"/>
    </xf>
    <xf numFmtId="0" fontId="26" fillId="4" borderId="0" xfId="3" quotePrefix="1" applyFont="1" applyFill="1" applyBorder="1" applyAlignment="1" applyProtection="1">
      <alignment horizontal="left" vertical="center" wrapText="1"/>
    </xf>
    <xf numFmtId="0" fontId="26" fillId="4" borderId="60" xfId="3" applyFont="1" applyFill="1" applyBorder="1" applyAlignment="1" applyProtection="1"/>
    <xf numFmtId="0" fontId="32" fillId="4" borderId="0" xfId="3" applyFont="1" applyFill="1" applyBorder="1" applyAlignment="1" applyProtection="1">
      <alignment horizontal="left" vertical="center" wrapText="1"/>
    </xf>
    <xf numFmtId="0" fontId="26" fillId="4" borderId="0" xfId="3" applyFont="1" applyFill="1" applyBorder="1" applyAlignment="1" applyProtection="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4" borderId="0" xfId="0" applyNumberFormat="1" applyFont="1" applyFill="1"/>
    <xf numFmtId="0" fontId="8" fillId="0" borderId="0" xfId="0" applyFont="1" applyAlignment="1">
      <alignment vertical="top"/>
    </xf>
    <xf numFmtId="0" fontId="8" fillId="0" borderId="0" xfId="0" applyNumberFormat="1" applyFont="1" applyAlignment="1">
      <alignment vertical="top"/>
    </xf>
    <xf numFmtId="0" fontId="8" fillId="0" borderId="0" xfId="0" applyNumberFormat="1" applyFont="1"/>
    <xf numFmtId="0" fontId="44" fillId="9" borderId="11" xfId="0" applyFont="1" applyFill="1" applyBorder="1" applyAlignment="1">
      <alignment horizontal="center" vertical="top" wrapText="1"/>
    </xf>
    <xf numFmtId="49" fontId="45" fillId="5" borderId="7" xfId="0" applyNumberFormat="1"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center" vertical="center" wrapText="1"/>
    </xf>
    <xf numFmtId="0" fontId="47" fillId="0" borderId="3" xfId="0" applyFont="1" applyFill="1" applyBorder="1" applyAlignment="1">
      <alignment horizontal="left" vertical="center" wrapText="1"/>
    </xf>
    <xf numFmtId="0" fontId="46" fillId="0" borderId="3" xfId="0" applyFont="1" applyBorder="1" applyAlignment="1">
      <alignment horizontal="left" vertical="center" wrapText="1"/>
    </xf>
    <xf numFmtId="0" fontId="46" fillId="0" borderId="4" xfId="0" applyFont="1" applyBorder="1" applyAlignment="1">
      <alignment horizontal="center" vertical="center" wrapText="1"/>
    </xf>
    <xf numFmtId="0" fontId="46" fillId="0" borderId="4" xfId="0" applyFont="1" applyBorder="1" applyAlignment="1">
      <alignment horizontal="left" vertical="center" wrapText="1"/>
    </xf>
    <xf numFmtId="0" fontId="46" fillId="0" borderId="3" xfId="0" applyFont="1" applyFill="1" applyBorder="1" applyAlignment="1">
      <alignment horizontal="center" vertical="center" wrapText="1"/>
    </xf>
    <xf numFmtId="0" fontId="46" fillId="0" borderId="2" xfId="0" applyFont="1" applyFill="1" applyBorder="1" applyAlignment="1">
      <alignment horizontal="left" vertical="center" wrapText="1"/>
    </xf>
    <xf numFmtId="0" fontId="9" fillId="13" borderId="3" xfId="0" applyFont="1" applyFill="1" applyBorder="1" applyAlignment="1">
      <alignment horizontal="center" vertical="center" wrapText="1"/>
    </xf>
    <xf numFmtId="0" fontId="50" fillId="0" borderId="0" xfId="0" applyFont="1" applyBorder="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Fill="1" applyBorder="1" applyAlignment="1">
      <alignment horizontal="center" vertical="center"/>
    </xf>
    <xf numFmtId="0" fontId="53" fillId="0" borderId="0" xfId="0" applyFont="1" applyBorder="1" applyAlignment="1">
      <alignment horizontal="center"/>
    </xf>
    <xf numFmtId="0" fontId="52" fillId="12" borderId="31"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25" fillId="4" borderId="0" xfId="2" applyNumberFormat="1" applyFont="1" applyFill="1" applyBorder="1" applyAlignment="1" applyProtection="1">
      <alignment vertical="center" wrapText="1"/>
    </xf>
    <xf numFmtId="0" fontId="35" fillId="4" borderId="0" xfId="2" applyFont="1" applyFill="1" applyBorder="1" applyAlignment="1" applyProtection="1">
      <alignment vertical="center" wrapText="1"/>
    </xf>
    <xf numFmtId="0" fontId="36" fillId="0" borderId="0" xfId="0" applyNumberFormat="1" applyFont="1" applyAlignment="1" applyProtection="1">
      <alignment horizontal="center" vertical="top"/>
      <protection hidden="1"/>
    </xf>
    <xf numFmtId="0" fontId="38" fillId="0" borderId="79" xfId="0" applyFont="1" applyBorder="1" applyAlignment="1" applyProtection="1">
      <alignment horizontal="center" vertical="center" wrapText="1"/>
      <protection hidden="1"/>
    </xf>
    <xf numFmtId="0" fontId="8" fillId="0" borderId="0" xfId="0" applyNumberFormat="1" applyFont="1" applyAlignment="1" applyProtection="1">
      <alignment horizontal="center" vertical="top"/>
      <protection hidden="1"/>
    </xf>
    <xf numFmtId="0" fontId="39" fillId="0" borderId="9" xfId="0" applyFont="1" applyFill="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80" xfId="0" applyFont="1" applyBorder="1" applyAlignment="1" applyProtection="1">
      <alignment horizontal="center" vertical="center" wrapText="1"/>
      <protection hidden="1"/>
    </xf>
    <xf numFmtId="0" fontId="8" fillId="0" borderId="0" xfId="0" applyNumberFormat="1" applyFont="1" applyAlignment="1" applyProtection="1">
      <alignment vertical="top"/>
      <protection hidden="1"/>
    </xf>
    <xf numFmtId="0" fontId="38" fillId="0" borderId="79" xfId="0" applyFont="1" applyFill="1" applyBorder="1" applyAlignment="1" applyProtection="1">
      <alignment horizontal="center" vertical="center" wrapText="1"/>
      <protection hidden="1"/>
    </xf>
    <xf numFmtId="0" fontId="43" fillId="0" borderId="2" xfId="0" applyFont="1" applyBorder="1" applyAlignment="1" applyProtection="1">
      <alignment horizontal="center" vertical="center" wrapText="1"/>
      <protection locked="0"/>
    </xf>
    <xf numFmtId="0" fontId="36" fillId="0" borderId="79" xfId="0" applyFont="1" applyBorder="1" applyAlignment="1" applyProtection="1">
      <alignment horizontal="left" vertical="center" wrapText="1"/>
      <protection locked="0"/>
    </xf>
    <xf numFmtId="0" fontId="43" fillId="0" borderId="3"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left" vertical="center" wrapText="1"/>
      <protection locked="0"/>
    </xf>
    <xf numFmtId="0" fontId="43" fillId="0" borderId="3" xfId="0" applyFont="1" applyBorder="1" applyAlignment="1" applyProtection="1">
      <alignment horizontal="center" vertical="center" wrapText="1"/>
      <protection locked="0"/>
    </xf>
    <xf numFmtId="0" fontId="36" fillId="0" borderId="9" xfId="0" applyFont="1" applyBorder="1" applyAlignment="1" applyProtection="1">
      <alignment horizontal="left" vertical="center" wrapText="1"/>
      <protection locked="0"/>
    </xf>
    <xf numFmtId="0" fontId="43" fillId="0" borderId="4" xfId="0" applyFont="1" applyBorder="1" applyAlignment="1" applyProtection="1">
      <alignment horizontal="center" vertical="center" wrapText="1"/>
      <protection locked="0"/>
    </xf>
    <xf numFmtId="0" fontId="36" fillId="0" borderId="80" xfId="0" applyFont="1" applyBorder="1" applyAlignment="1" applyProtection="1">
      <alignment horizontal="left" vertical="center" wrapText="1"/>
      <protection locked="0"/>
    </xf>
    <xf numFmtId="0" fontId="43" fillId="0" borderId="2" xfId="0" applyFont="1" applyFill="1" applyBorder="1" applyAlignment="1" applyProtection="1">
      <alignment horizontal="center" vertical="center" wrapText="1"/>
      <protection locked="0"/>
    </xf>
    <xf numFmtId="0" fontId="19" fillId="2" borderId="82" xfId="2" applyFont="1" applyFill="1" applyBorder="1" applyAlignment="1" applyProtection="1">
      <alignment horizontal="center" vertical="center"/>
    </xf>
    <xf numFmtId="0" fontId="19" fillId="2" borderId="82" xfId="2" applyFont="1" applyFill="1" applyBorder="1" applyAlignment="1" applyProtection="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4" xfId="0" applyFont="1" applyFill="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0" fillId="0" borderId="85" xfId="0" applyFont="1" applyFill="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0" fillId="0" borderId="86" xfId="0" applyFont="1" applyFill="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0" fillId="0" borderId="5" xfId="0" applyFont="1" applyFill="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0" fillId="0" borderId="6" xfId="0" applyFont="1" applyFill="1" applyBorder="1" applyAlignment="1" applyProtection="1">
      <alignment vertical="center" wrapText="1"/>
      <protection hidden="1"/>
    </xf>
    <xf numFmtId="0" fontId="40" fillId="0" borderId="3" xfId="0" applyFont="1" applyFill="1" applyBorder="1" applyAlignment="1" applyProtection="1">
      <alignment vertical="center" wrapText="1"/>
      <protection hidden="1"/>
    </xf>
    <xf numFmtId="0" fontId="40" fillId="0" borderId="7" xfId="0" applyFont="1" applyFill="1" applyBorder="1" applyAlignment="1" applyProtection="1">
      <alignment vertical="center" wrapText="1"/>
      <protection hidden="1"/>
    </xf>
    <xf numFmtId="0" fontId="48"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6" xfId="0" applyNumberFormat="1" applyFont="1" applyFill="1" applyBorder="1" applyAlignment="1" applyProtection="1">
      <alignment horizontal="center" vertical="center"/>
      <protection hidden="1"/>
    </xf>
    <xf numFmtId="0" fontId="42" fillId="0" borderId="3" xfId="0" applyFont="1" applyFill="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2" xfId="0" applyNumberFormat="1" applyFont="1" applyFill="1" applyBorder="1" applyAlignment="1" applyProtection="1">
      <alignment horizontal="center" vertical="center" wrapText="1"/>
      <protection locked="0"/>
    </xf>
    <xf numFmtId="49" fontId="55" fillId="4" borderId="3" xfId="0" applyNumberFormat="1" applyFont="1" applyFill="1" applyBorder="1" applyAlignment="1" applyProtection="1">
      <alignment horizontal="center" vertical="center" wrapText="1"/>
      <protection locked="0"/>
    </xf>
    <xf numFmtId="49" fontId="55"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44" fillId="9" borderId="14"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0" fontId="36" fillId="0" borderId="9" xfId="0" applyFont="1" applyFill="1" applyBorder="1" applyAlignment="1" applyProtection="1">
      <alignment horizontal="left" vertical="center" wrapText="1"/>
      <protection locked="0"/>
    </xf>
    <xf numFmtId="0" fontId="30" fillId="0" borderId="58" xfId="3" applyFont="1" applyBorder="1" applyAlignment="1" applyProtection="1">
      <alignment horizontal="center" vertical="center" wrapText="1"/>
    </xf>
    <xf numFmtId="0" fontId="30" fillId="0" borderId="55" xfId="3" applyFont="1" applyBorder="1" applyAlignment="1" applyProtection="1">
      <alignment horizontal="center" vertical="center" wrapText="1"/>
    </xf>
    <xf numFmtId="0" fontId="30" fillId="0" borderId="8" xfId="3" applyFont="1" applyBorder="1" applyAlignment="1" applyProtection="1">
      <alignment horizontal="center" vertical="center" wrapText="1"/>
    </xf>
    <xf numFmtId="0" fontId="26" fillId="0" borderId="59" xfId="3" quotePrefix="1" applyFont="1" applyBorder="1" applyAlignment="1" applyProtection="1">
      <alignment horizontal="left" vertical="center" wrapText="1"/>
    </xf>
    <xf numFmtId="0" fontId="26" fillId="0" borderId="0" xfId="3" quotePrefix="1" applyFont="1" applyBorder="1" applyAlignment="1" applyProtection="1">
      <alignment horizontal="left" vertical="center" wrapText="1"/>
    </xf>
    <xf numFmtId="0" fontId="26" fillId="0" borderId="60" xfId="3" quotePrefix="1" applyFont="1" applyBorder="1" applyAlignment="1" applyProtection="1">
      <alignment horizontal="left" vertical="center" wrapText="1"/>
    </xf>
    <xf numFmtId="0" fontId="31" fillId="4" borderId="59" xfId="3" quotePrefix="1" applyFont="1" applyFill="1" applyBorder="1" applyAlignment="1" applyProtection="1">
      <alignment horizontal="left" vertical="top" wrapText="1"/>
    </xf>
    <xf numFmtId="0" fontId="25" fillId="4" borderId="0" xfId="3" quotePrefix="1" applyFont="1" applyFill="1" applyBorder="1" applyAlignment="1" applyProtection="1">
      <alignment horizontal="left" vertical="top" wrapText="1"/>
    </xf>
    <xf numFmtId="0" fontId="25" fillId="4" borderId="60" xfId="3" quotePrefix="1" applyFont="1" applyFill="1" applyBorder="1" applyAlignment="1" applyProtection="1">
      <alignment horizontal="left" vertical="top" wrapText="1"/>
    </xf>
    <xf numFmtId="0" fontId="26" fillId="4" borderId="59" xfId="3" quotePrefix="1" applyFont="1" applyFill="1" applyBorder="1" applyAlignment="1" applyProtection="1">
      <alignment horizontal="left" vertical="top" wrapText="1"/>
    </xf>
    <xf numFmtId="0" fontId="26" fillId="4" borderId="0" xfId="3" quotePrefix="1" applyFont="1" applyFill="1" applyBorder="1" applyAlignment="1" applyProtection="1">
      <alignment horizontal="left" vertical="top" wrapText="1"/>
    </xf>
    <xf numFmtId="0" fontId="26" fillId="4" borderId="60" xfId="3" quotePrefix="1" applyFont="1" applyFill="1" applyBorder="1" applyAlignment="1" applyProtection="1">
      <alignment horizontal="left" vertical="top" wrapText="1"/>
    </xf>
    <xf numFmtId="0" fontId="34" fillId="16" borderId="61" xfId="4" applyFont="1" applyFill="1" applyBorder="1" applyAlignment="1" applyProtection="1">
      <alignment horizontal="center" vertical="center" wrapText="1"/>
    </xf>
    <xf numFmtId="0" fontId="34" fillId="16" borderId="62" xfId="4" applyFont="1" applyFill="1" applyBorder="1" applyAlignment="1" applyProtection="1">
      <alignment horizontal="center" vertical="center" wrapText="1"/>
    </xf>
    <xf numFmtId="0" fontId="34" fillId="16" borderId="63" xfId="3" applyFont="1" applyFill="1" applyBorder="1" applyAlignment="1" applyProtection="1">
      <alignment horizontal="center" vertical="center"/>
    </xf>
    <xf numFmtId="0" fontId="34" fillId="16" borderId="64" xfId="3" applyFont="1" applyFill="1" applyBorder="1" applyAlignment="1" applyProtection="1">
      <alignment horizontal="center" vertical="center"/>
    </xf>
    <xf numFmtId="0" fontId="34" fillId="4" borderId="75" xfId="4" applyFont="1" applyFill="1" applyBorder="1" applyAlignment="1" applyProtection="1">
      <alignment horizontal="left" vertical="center" wrapText="1" readingOrder="1"/>
    </xf>
    <xf numFmtId="0" fontId="34" fillId="4" borderId="76" xfId="4" applyFont="1" applyFill="1" applyBorder="1" applyAlignment="1" applyProtection="1">
      <alignment horizontal="left" vertical="center" wrapText="1" readingOrder="1"/>
    </xf>
    <xf numFmtId="0" fontId="35" fillId="0" borderId="65" xfId="3" applyFont="1" applyFill="1" applyBorder="1" applyAlignment="1" applyProtection="1">
      <alignment horizontal="left" vertical="center" wrapText="1"/>
    </xf>
    <xf numFmtId="0" fontId="35" fillId="0" borderId="66" xfId="3" applyFont="1" applyFill="1" applyBorder="1" applyAlignment="1" applyProtection="1">
      <alignment horizontal="left" vertical="center" wrapText="1"/>
    </xf>
    <xf numFmtId="0" fontId="34" fillId="4" borderId="67" xfId="0" applyFont="1" applyFill="1" applyBorder="1" applyAlignment="1" applyProtection="1">
      <alignment horizontal="left" vertical="center" wrapText="1"/>
    </xf>
    <xf numFmtId="0" fontId="34" fillId="4" borderId="68" xfId="0" applyFont="1" applyFill="1" applyBorder="1" applyAlignment="1" applyProtection="1">
      <alignment horizontal="left" vertical="center" wrapText="1"/>
    </xf>
    <xf numFmtId="0" fontId="35" fillId="0" borderId="69" xfId="3" applyFont="1" applyFill="1" applyBorder="1" applyAlignment="1" applyProtection="1">
      <alignment horizontal="left" vertical="center" wrapText="1"/>
    </xf>
    <xf numFmtId="0" fontId="35" fillId="0" borderId="70" xfId="3" applyFont="1" applyFill="1" applyBorder="1" applyAlignment="1" applyProtection="1">
      <alignment horizontal="left" vertical="center" wrapText="1"/>
    </xf>
    <xf numFmtId="0" fontId="35" fillId="0" borderId="69" xfId="3" applyFont="1" applyFill="1" applyBorder="1" applyAlignment="1" applyProtection="1">
      <alignment horizontal="left" vertical="top" wrapText="1"/>
    </xf>
    <xf numFmtId="0" fontId="35" fillId="0" borderId="70" xfId="3" applyFont="1" applyFill="1" applyBorder="1" applyAlignment="1" applyProtection="1">
      <alignment horizontal="left" vertical="top" wrapText="1"/>
    </xf>
    <xf numFmtId="0" fontId="26" fillId="4" borderId="59" xfId="3" applyFont="1" applyFill="1" applyBorder="1" applyAlignment="1" applyProtection="1">
      <alignment horizontal="left" vertical="top" wrapText="1"/>
    </xf>
    <xf numFmtId="0" fontId="26" fillId="4" borderId="0" xfId="3" applyFont="1" applyFill="1" applyBorder="1" applyAlignment="1" applyProtection="1">
      <alignment horizontal="left" vertical="top" wrapText="1"/>
    </xf>
    <xf numFmtId="0" fontId="26" fillId="4" borderId="60" xfId="3" applyFont="1" applyFill="1" applyBorder="1" applyAlignment="1" applyProtection="1">
      <alignment horizontal="left" vertical="top" wrapText="1"/>
    </xf>
    <xf numFmtId="0" fontId="26" fillId="4" borderId="0" xfId="3" applyFont="1" applyFill="1" applyBorder="1" applyAlignment="1" applyProtection="1"/>
    <xf numFmtId="0" fontId="34" fillId="4" borderId="77" xfId="0" applyFont="1" applyFill="1" applyBorder="1" applyAlignment="1" applyProtection="1">
      <alignment horizontal="left" vertical="center" wrapText="1"/>
    </xf>
    <xf numFmtId="0" fontId="34" fillId="4" borderId="78" xfId="0" applyFont="1" applyFill="1" applyBorder="1" applyAlignment="1" applyProtection="1">
      <alignment horizontal="left" vertical="center" wrapText="1"/>
    </xf>
    <xf numFmtId="0" fontId="17" fillId="2" borderId="44" xfId="2" applyNumberFormat="1" applyFont="1" applyFill="1" applyBorder="1" applyAlignment="1" applyProtection="1">
      <alignment horizontal="center" vertical="center" wrapText="1"/>
    </xf>
    <xf numFmtId="0" fontId="17" fillId="2" borderId="45" xfId="2" applyNumberFormat="1" applyFont="1" applyFill="1" applyBorder="1" applyAlignment="1" applyProtection="1">
      <alignment horizontal="center" vertical="center" wrapText="1"/>
    </xf>
    <xf numFmtId="0" fontId="25" fillId="7" borderId="50" xfId="2" applyNumberFormat="1" applyFont="1" applyFill="1" applyBorder="1" applyAlignment="1" applyProtection="1">
      <alignment horizontal="center" vertical="center"/>
    </xf>
    <xf numFmtId="0" fontId="25" fillId="7" borderId="51" xfId="2" applyNumberFormat="1" applyFont="1" applyFill="1" applyBorder="1" applyAlignment="1" applyProtection="1">
      <alignment horizontal="center" vertical="center"/>
    </xf>
    <xf numFmtId="0" fontId="26" fillId="0" borderId="56" xfId="2" applyFont="1" applyFill="1" applyBorder="1" applyAlignment="1" applyProtection="1">
      <alignment horizontal="justify" vertical="center" wrapText="1"/>
    </xf>
    <xf numFmtId="0" fontId="26" fillId="0" borderId="57" xfId="2" applyFont="1" applyFill="1" applyBorder="1" applyAlignment="1" applyProtection="1">
      <alignment horizontal="justify" vertical="center" wrapText="1"/>
    </xf>
    <xf numFmtId="0" fontId="25" fillId="8" borderId="52" xfId="2" applyNumberFormat="1" applyFont="1" applyFill="1" applyBorder="1" applyAlignment="1" applyProtection="1">
      <alignment horizontal="center" vertical="center" wrapText="1"/>
    </xf>
    <xf numFmtId="0" fontId="25" fillId="8" borderId="53" xfId="2" applyNumberFormat="1" applyFont="1" applyFill="1" applyBorder="1" applyAlignment="1" applyProtection="1">
      <alignment horizontal="center" vertical="center"/>
    </xf>
    <xf numFmtId="0" fontId="26" fillId="0" borderId="53" xfId="2" applyFont="1" applyFill="1" applyBorder="1" applyAlignment="1" applyProtection="1">
      <alignment horizontal="justify" vertical="center" wrapText="1"/>
    </xf>
    <xf numFmtId="0" fontId="26" fillId="0" borderId="54" xfId="2" applyFont="1" applyFill="1" applyBorder="1" applyAlignment="1" applyProtection="1">
      <alignment horizontal="justify" vertical="center" wrapText="1"/>
    </xf>
    <xf numFmtId="0" fontId="37" fillId="4" borderId="71" xfId="2" applyNumberFormat="1" applyFont="1" applyFill="1" applyBorder="1" applyAlignment="1" applyProtection="1">
      <alignment horizontal="center" vertical="center" wrapText="1"/>
    </xf>
    <xf numFmtId="0" fontId="24" fillId="4" borderId="71" xfId="2" applyFont="1" applyFill="1" applyBorder="1" applyAlignment="1" applyProtection="1">
      <alignment horizontal="center" vertical="center" wrapText="1"/>
    </xf>
    <xf numFmtId="0" fontId="17" fillId="2" borderId="46" xfId="2" applyNumberFormat="1" applyFont="1" applyFill="1" applyBorder="1" applyAlignment="1" applyProtection="1">
      <alignment horizontal="center" vertical="center" wrapText="1"/>
    </xf>
    <xf numFmtId="0" fontId="25" fillId="14" borderId="47" xfId="2" applyNumberFormat="1" applyFont="1" applyFill="1" applyBorder="1" applyAlignment="1" applyProtection="1">
      <alignment horizontal="center" vertical="center"/>
    </xf>
    <xf numFmtId="0" fontId="25" fillId="14" borderId="48" xfId="2" applyNumberFormat="1" applyFont="1" applyFill="1" applyBorder="1" applyAlignment="1" applyProtection="1">
      <alignment horizontal="center" vertical="center"/>
    </xf>
    <xf numFmtId="0" fontId="26" fillId="0" borderId="48" xfId="2" applyFont="1" applyFill="1" applyBorder="1" applyAlignment="1" applyProtection="1">
      <alignment horizontal="justify" vertical="center" wrapText="1"/>
    </xf>
    <xf numFmtId="0" fontId="26" fillId="0" borderId="49" xfId="2" applyFont="1" applyFill="1" applyBorder="1" applyAlignment="1" applyProtection="1">
      <alignment horizontal="justify" vertical="center" wrapText="1"/>
    </xf>
    <xf numFmtId="0" fontId="44" fillId="9" borderId="11"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6" xfId="0"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9" borderId="15" xfId="0" applyNumberFormat="1" applyFont="1" applyFill="1" applyBorder="1" applyAlignment="1">
      <alignment horizontal="center" vertical="center" wrapText="1"/>
    </xf>
    <xf numFmtId="49" fontId="44" fillId="9" borderId="16" xfId="0" applyNumberFormat="1"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6" borderId="12" xfId="0" applyNumberFormat="1" applyFont="1" applyFill="1" applyBorder="1" applyAlignment="1">
      <alignment horizontal="center" vertical="center" wrapText="1"/>
    </xf>
    <xf numFmtId="49" fontId="44" fillId="6" borderId="13"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10" borderId="12"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2" borderId="12"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11" borderId="12"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9" borderId="12" xfId="0" applyNumberFormat="1" applyFont="1" applyFill="1" applyBorder="1" applyAlignment="1">
      <alignment horizontal="center" vertical="center" wrapText="1"/>
    </xf>
    <xf numFmtId="49" fontId="44" fillId="9" borderId="13"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0" fontId="44" fillId="10" borderId="3" xfId="0" applyFont="1" applyFill="1" applyBorder="1" applyAlignment="1">
      <alignment horizontal="center" vertical="center" wrapText="1"/>
    </xf>
    <xf numFmtId="49" fontId="44" fillId="10" borderId="15" xfId="0" applyNumberFormat="1" applyFont="1" applyFill="1" applyBorder="1" applyAlignment="1">
      <alignment horizontal="center" vertical="center" wrapText="1"/>
    </xf>
    <xf numFmtId="0" fontId="44" fillId="10" borderId="12" xfId="0" applyFont="1" applyFill="1" applyBorder="1" applyAlignment="1">
      <alignment horizontal="center" vertical="center" wrapText="1"/>
    </xf>
    <xf numFmtId="49" fontId="44" fillId="2" borderId="14"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16" xfId="0" applyNumberFormat="1"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3" xfId="0" applyFont="1" applyFill="1" applyBorder="1" applyAlignment="1">
      <alignment horizontal="center" vertical="center" wrapText="1"/>
    </xf>
    <xf numFmtId="49" fontId="45" fillId="5" borderId="0" xfId="0" applyNumberFormat="1" applyFont="1" applyFill="1" applyBorder="1" applyAlignment="1">
      <alignment horizontal="center" vertical="center"/>
    </xf>
    <xf numFmtId="0" fontId="44" fillId="11" borderId="11"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13" xfId="0" applyFont="1" applyFill="1" applyBorder="1" applyAlignment="1">
      <alignment horizontal="center" vertical="center" wrapText="1"/>
    </xf>
    <xf numFmtId="49" fontId="44" fillId="11" borderId="14" xfId="0" applyNumberFormat="1" applyFont="1" applyFill="1" applyBorder="1" applyAlignment="1">
      <alignment horizontal="center" vertical="center" wrapText="1"/>
    </xf>
    <xf numFmtId="49" fontId="44" fillId="11" borderId="15" xfId="0" applyNumberFormat="1" applyFont="1" applyFill="1" applyBorder="1" applyAlignment="1">
      <alignment horizontal="center" vertical="center" wrapText="1"/>
    </xf>
    <xf numFmtId="49" fontId="44" fillId="11" borderId="16" xfId="0" applyNumberFormat="1" applyFont="1" applyFill="1" applyBorder="1" applyAlignment="1">
      <alignment horizontal="center" vertical="center" wrapText="1"/>
    </xf>
    <xf numFmtId="0" fontId="44" fillId="9" borderId="13"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3" xfId="0"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49" fontId="8" fillId="10" borderId="15"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44" fillId="10" borderId="13" xfId="0" applyFont="1" applyFill="1" applyBorder="1" applyAlignment="1">
      <alignment horizontal="center" vertical="center" wrapText="1"/>
    </xf>
    <xf numFmtId="9" fontId="41" fillId="0" borderId="87" xfId="0" applyNumberFormat="1" applyFont="1" applyBorder="1" applyAlignment="1" applyProtection="1">
      <alignment horizontal="center" vertical="center"/>
      <protection hidden="1"/>
    </xf>
    <xf numFmtId="9" fontId="41"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1" fillId="4" borderId="87" xfId="0" applyNumberFormat="1" applyFont="1" applyFill="1" applyBorder="1" applyAlignment="1" applyProtection="1">
      <alignment horizontal="center" vertical="center"/>
      <protection hidden="1"/>
    </xf>
    <xf numFmtId="9" fontId="41" fillId="4" borderId="88" xfId="0" applyNumberFormat="1" applyFont="1" applyFill="1" applyBorder="1" applyAlignment="1" applyProtection="1">
      <alignment horizontal="center" vertical="center"/>
      <protection hidden="1"/>
    </xf>
    <xf numFmtId="9" fontId="41"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1"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19" fillId="3" borderId="32" xfId="2" applyFont="1" applyFill="1" applyBorder="1" applyAlignment="1" applyProtection="1">
      <alignment horizontal="center" vertical="center" wrapText="1"/>
    </xf>
    <xf numFmtId="0" fontId="19" fillId="3" borderId="33" xfId="2" applyFont="1" applyFill="1" applyBorder="1" applyAlignment="1" applyProtection="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pplyProtection="1">
      <alignment horizontal="center" vertical="center" wrapText="1"/>
    </xf>
    <xf numFmtId="0" fontId="19" fillId="2" borderId="83" xfId="2" applyFont="1" applyFill="1" applyBorder="1" applyAlignment="1" applyProtection="1">
      <alignment horizontal="center" vertical="center" wrapText="1"/>
    </xf>
    <xf numFmtId="0" fontId="19" fillId="2" borderId="38" xfId="2" applyFont="1" applyFill="1" applyBorder="1" applyAlignment="1" applyProtection="1">
      <alignment horizontal="center" vertical="center" wrapText="1"/>
    </xf>
    <xf numFmtId="0" fontId="19" fillId="2" borderId="39" xfId="2" applyFont="1" applyFill="1" applyBorder="1" applyAlignment="1" applyProtection="1">
      <alignment horizontal="center" vertical="center" wrapText="1"/>
    </xf>
    <xf numFmtId="0" fontId="19" fillId="2" borderId="40" xfId="2" applyFont="1" applyFill="1" applyBorder="1" applyAlignment="1" applyProtection="1">
      <alignment horizontal="center" vertical="center" wrapText="1"/>
    </xf>
    <xf numFmtId="0" fontId="19" fillId="2" borderId="42" xfId="2" applyFont="1" applyFill="1" applyBorder="1" applyAlignment="1" applyProtection="1">
      <alignment horizontal="center" vertical="center" wrapText="1"/>
    </xf>
    <xf numFmtId="0" fontId="19" fillId="2" borderId="41" xfId="2" applyFont="1" applyFill="1" applyBorder="1" applyAlignment="1" applyProtection="1">
      <alignment horizontal="center" vertical="center" wrapText="1"/>
    </xf>
    <xf numFmtId="0" fontId="19" fillId="2" borderId="43" xfId="2" applyFont="1" applyFill="1" applyBorder="1" applyAlignment="1" applyProtection="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49" fontId="49" fillId="4" borderId="91" xfId="0" applyNumberFormat="1" applyFont="1" applyFill="1" applyBorder="1" applyAlignment="1">
      <alignment horizontal="left" vertical="center" wrapText="1"/>
    </xf>
    <xf numFmtId="49" fontId="49" fillId="4" borderId="3" xfId="0" applyNumberFormat="1" applyFont="1" applyFill="1" applyBorder="1" applyAlignment="1">
      <alignment horizontal="left" vertical="center" wrapText="1"/>
    </xf>
    <xf numFmtId="49" fontId="49" fillId="4" borderId="92"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2" xfId="0" applyNumberFormat="1" applyFont="1" applyFill="1" applyBorder="1" applyAlignment="1" applyProtection="1">
      <alignment horizontal="center" vertical="center"/>
      <protection locked="0"/>
    </xf>
    <xf numFmtId="164" fontId="56" fillId="4" borderId="23"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4"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49" fontId="49" fillId="4" borderId="90" xfId="0" applyNumberFormat="1" applyFont="1" applyFill="1" applyBorder="1" applyAlignment="1">
      <alignment horizontal="left" vertical="center" wrapText="1"/>
    </xf>
    <xf numFmtId="49" fontId="49" fillId="4" borderId="2" xfId="0" applyNumberFormat="1" applyFont="1" applyFill="1" applyBorder="1" applyAlignment="1">
      <alignment horizontal="left" vertical="center" wrapText="1"/>
    </xf>
    <xf numFmtId="49" fontId="58" fillId="4" borderId="2" xfId="0" applyNumberFormat="1" applyFont="1" applyFill="1" applyBorder="1" applyAlignment="1" applyProtection="1">
      <alignment horizontal="center" vertical="top" wrapText="1"/>
      <protection locked="0"/>
    </xf>
    <xf numFmtId="49" fontId="0" fillId="4" borderId="2" xfId="0" applyNumberFormat="1" applyFill="1" applyBorder="1" applyAlignment="1" applyProtection="1">
      <alignment horizontal="center" vertical="top" wrapText="1"/>
      <protection locked="0"/>
    </xf>
    <xf numFmtId="49" fontId="0" fillId="4" borderId="84" xfId="0" applyNumberFormat="1" applyFill="1" applyBorder="1" applyAlignment="1" applyProtection="1">
      <alignment horizontal="center" vertical="top" wrapText="1"/>
      <protection locked="0"/>
    </xf>
    <xf numFmtId="49" fontId="58" fillId="4" borderId="3" xfId="0" applyNumberFormat="1" applyFont="1" applyFill="1" applyBorder="1" applyAlignment="1" applyProtection="1">
      <alignment horizontal="center" vertical="top" wrapText="1"/>
      <protection locked="0"/>
    </xf>
    <xf numFmtId="49" fontId="0" fillId="4" borderId="3" xfId="0" applyNumberFormat="1" applyFill="1" applyBorder="1" applyAlignment="1" applyProtection="1">
      <alignment horizontal="center" vertical="top" wrapText="1"/>
      <protection locked="0"/>
    </xf>
    <xf numFmtId="49" fontId="0" fillId="4" borderId="85" xfId="0" applyNumberFormat="1" applyFill="1" applyBorder="1" applyAlignment="1" applyProtection="1">
      <alignment horizontal="center" vertical="top" wrapText="1"/>
      <protection locked="0"/>
    </xf>
    <xf numFmtId="49" fontId="58" fillId="4" borderId="4" xfId="0" applyNumberFormat="1" applyFont="1" applyFill="1" applyBorder="1" applyAlignment="1" applyProtection="1">
      <alignment horizontal="center" vertical="top" wrapText="1"/>
      <protection locked="0"/>
    </xf>
    <xf numFmtId="49" fontId="58" fillId="4" borderId="86" xfId="0" applyNumberFormat="1" applyFont="1" applyFill="1" applyBorder="1" applyAlignment="1" applyProtection="1">
      <alignment horizontal="center" vertical="top" wrapText="1"/>
      <protection locked="0"/>
    </xf>
    <xf numFmtId="0" fontId="59" fillId="0" borderId="24" xfId="0" applyFont="1" applyFill="1" applyBorder="1" applyAlignment="1" applyProtection="1">
      <alignment horizontal="center" vertical="center" wrapText="1"/>
      <protection locked="0"/>
    </xf>
    <xf numFmtId="0" fontId="57" fillId="0" borderId="1" xfId="0" applyFont="1" applyFill="1" applyBorder="1" applyAlignment="1" applyProtection="1">
      <alignment horizontal="center" vertical="center" wrapText="1"/>
      <protection locked="0"/>
    </xf>
    <xf numFmtId="0" fontId="57" fillId="0" borderId="25" xfId="0" applyFont="1" applyFill="1" applyBorder="1" applyAlignment="1" applyProtection="1">
      <alignment horizontal="center" vertical="center" wrapText="1"/>
      <protection locked="0"/>
    </xf>
    <xf numFmtId="0" fontId="52" fillId="12" borderId="0" xfId="0" applyFont="1" applyFill="1" applyBorder="1" applyAlignment="1">
      <alignment horizontal="center" vertical="center" wrapText="1"/>
    </xf>
    <xf numFmtId="0" fontId="0" fillId="0" borderId="73" xfId="0" applyBorder="1" applyAlignment="1">
      <alignment horizontal="center"/>
    </xf>
    <xf numFmtId="0" fontId="0" fillId="0" borderId="1" xfId="0" applyBorder="1" applyAlignment="1">
      <alignment horizontal="center"/>
    </xf>
  </cellXfs>
  <cellStyles count="5">
    <cellStyle name="Normal" xfId="0" builtinId="0"/>
    <cellStyle name="Normal - Style1 2" xfId="3" xr:uid="{00000000-0005-0000-0000-000001000000}"/>
    <cellStyle name="Normal 2" xfId="2" xr:uid="{00000000-0005-0000-0000-000002000000}"/>
    <cellStyle name="Normal 2 2" xfId="4" xr:uid="{00000000-0005-0000-0000-000003000000}"/>
    <cellStyle name="Porcentaje" xfId="1" builtinId="5"/>
  </cellStyles>
  <dxfs count="20">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 val="Hoja4"/>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opLeftCell="A13" zoomScale="90" zoomScaleNormal="90" workbookViewId="0">
      <selection activeCell="B6" sqref="B6:H7"/>
    </sheetView>
  </sheetViews>
  <sheetFormatPr baseColWidth="10" defaultColWidth="0" defaultRowHeight="12.75" zeroHeight="1" x14ac:dyDescent="0.2"/>
  <cols>
    <col min="1" max="1" width="3.85546875" style="45" customWidth="1"/>
    <col min="2" max="2" width="15.28515625" style="45" customWidth="1"/>
    <col min="3" max="3" width="17.28515625" style="45" customWidth="1"/>
    <col min="4" max="4" width="28.5703125" style="45" customWidth="1"/>
    <col min="5" max="5" width="12.85546875" style="45" customWidth="1"/>
    <col min="6" max="6" width="47.140625" style="45" customWidth="1"/>
    <col min="7" max="7" width="21.42578125" style="45" customWidth="1"/>
    <col min="8" max="8" width="6.5703125" style="45" customWidth="1"/>
    <col min="9" max="9" width="2.5703125" style="45" customWidth="1"/>
    <col min="10" max="16384" width="11.42578125" style="45" hidden="1"/>
  </cols>
  <sheetData>
    <row r="1" spans="2:8" ht="13.5" thickBot="1" x14ac:dyDescent="0.25"/>
    <row r="2" spans="2:8" ht="73.5" customHeight="1" x14ac:dyDescent="0.2">
      <c r="B2" s="164" t="s">
        <v>0</v>
      </c>
      <c r="C2" s="165"/>
      <c r="D2" s="165"/>
      <c r="E2" s="165"/>
      <c r="F2" s="165"/>
      <c r="G2" s="165"/>
      <c r="H2" s="166"/>
    </row>
    <row r="3" spans="2:8" ht="65.25" customHeight="1" x14ac:dyDescent="0.2">
      <c r="B3" s="167" t="s">
        <v>1</v>
      </c>
      <c r="C3" s="168"/>
      <c r="D3" s="168"/>
      <c r="E3" s="168"/>
      <c r="F3" s="168"/>
      <c r="G3" s="168"/>
      <c r="H3" s="169"/>
    </row>
    <row r="4" spans="2:8" ht="82.5" customHeight="1" x14ac:dyDescent="0.2">
      <c r="B4" s="167"/>
      <c r="C4" s="168"/>
      <c r="D4" s="168"/>
      <c r="E4" s="168"/>
      <c r="F4" s="168"/>
      <c r="G4" s="168"/>
      <c r="H4" s="169"/>
    </row>
    <row r="5" spans="2:8" ht="21.75" customHeight="1" x14ac:dyDescent="0.2">
      <c r="B5" s="170" t="s">
        <v>2</v>
      </c>
      <c r="C5" s="171"/>
      <c r="D5" s="171"/>
      <c r="E5" s="171"/>
      <c r="F5" s="171"/>
      <c r="G5" s="171"/>
      <c r="H5" s="172"/>
    </row>
    <row r="6" spans="2:8" ht="42" customHeight="1" x14ac:dyDescent="0.2">
      <c r="B6" s="173" t="s">
        <v>3</v>
      </c>
      <c r="C6" s="174"/>
      <c r="D6" s="174"/>
      <c r="E6" s="174"/>
      <c r="F6" s="174"/>
      <c r="G6" s="174"/>
      <c r="H6" s="175"/>
    </row>
    <row r="7" spans="2:8" ht="14.25" customHeight="1" x14ac:dyDescent="0.2">
      <c r="B7" s="173"/>
      <c r="C7" s="174"/>
      <c r="D7" s="174"/>
      <c r="E7" s="174"/>
      <c r="F7" s="174"/>
      <c r="G7" s="174"/>
      <c r="H7" s="175"/>
    </row>
    <row r="8" spans="2:8" ht="12.75" customHeight="1" thickBot="1" x14ac:dyDescent="0.25">
      <c r="B8" s="57"/>
      <c r="C8" s="51"/>
      <c r="D8" s="67"/>
      <c r="E8" s="68"/>
      <c r="F8" s="68"/>
      <c r="G8" s="65"/>
      <c r="H8" s="66"/>
    </row>
    <row r="9" spans="2:8" ht="21" customHeight="1" thickTop="1" x14ac:dyDescent="0.2">
      <c r="B9" s="57"/>
      <c r="C9" s="176" t="s">
        <v>4</v>
      </c>
      <c r="D9" s="177"/>
      <c r="E9" s="178" t="s">
        <v>5</v>
      </c>
      <c r="F9" s="179"/>
      <c r="G9" s="51"/>
      <c r="H9" s="59"/>
    </row>
    <row r="10" spans="2:8" ht="37.5" customHeight="1" x14ac:dyDescent="0.2">
      <c r="B10" s="57"/>
      <c r="C10" s="180" t="s">
        <v>6</v>
      </c>
      <c r="D10" s="181"/>
      <c r="E10" s="182" t="s">
        <v>7</v>
      </c>
      <c r="F10" s="183"/>
      <c r="G10" s="51"/>
      <c r="H10" s="59"/>
    </row>
    <row r="11" spans="2:8" ht="39.75" customHeight="1" x14ac:dyDescent="0.2">
      <c r="B11" s="57"/>
      <c r="C11" s="184" t="s">
        <v>8</v>
      </c>
      <c r="D11" s="185"/>
      <c r="E11" s="186" t="s">
        <v>9</v>
      </c>
      <c r="F11" s="187"/>
      <c r="G11" s="51"/>
      <c r="H11" s="59"/>
    </row>
    <row r="12" spans="2:8" ht="59.25" customHeight="1" x14ac:dyDescent="0.2">
      <c r="B12" s="57"/>
      <c r="C12" s="184" t="s">
        <v>10</v>
      </c>
      <c r="D12" s="185"/>
      <c r="E12" s="188" t="s">
        <v>11</v>
      </c>
      <c r="F12" s="189"/>
      <c r="G12" s="51"/>
      <c r="H12" s="59"/>
    </row>
    <row r="13" spans="2:8" ht="33.75" customHeight="1" x14ac:dyDescent="0.2">
      <c r="B13" s="57"/>
      <c r="C13" s="194" t="s">
        <v>12</v>
      </c>
      <c r="D13" s="195"/>
      <c r="E13" s="186" t="s">
        <v>13</v>
      </c>
      <c r="F13" s="187"/>
      <c r="G13" s="51"/>
      <c r="H13" s="59"/>
    </row>
    <row r="14" spans="2:8" ht="19.5" customHeight="1" x14ac:dyDescent="0.2">
      <c r="B14" s="57"/>
      <c r="C14" s="63"/>
      <c r="D14" s="63"/>
      <c r="E14" s="64"/>
      <c r="F14" s="64"/>
      <c r="G14" s="51"/>
      <c r="H14" s="59"/>
    </row>
    <row r="15" spans="2:8" ht="37.5" customHeight="1" thickBot="1" x14ac:dyDescent="0.25">
      <c r="B15" s="190" t="s">
        <v>14</v>
      </c>
      <c r="C15" s="191"/>
      <c r="D15" s="191"/>
      <c r="E15" s="191"/>
      <c r="F15" s="191"/>
      <c r="G15" s="191"/>
      <c r="H15" s="192"/>
    </row>
    <row r="16" spans="2:8" ht="27.75" customHeight="1" thickBot="1" x14ac:dyDescent="0.25">
      <c r="B16" s="57"/>
      <c r="C16" s="196" t="s">
        <v>15</v>
      </c>
      <c r="D16" s="197"/>
      <c r="E16" s="197" t="s">
        <v>16</v>
      </c>
      <c r="F16" s="208"/>
      <c r="G16" s="51"/>
      <c r="H16" s="59"/>
    </row>
    <row r="17" spans="2:8" ht="27.75" customHeight="1" x14ac:dyDescent="0.2">
      <c r="B17" s="57"/>
      <c r="C17" s="209" t="s">
        <v>17</v>
      </c>
      <c r="D17" s="210"/>
      <c r="E17" s="211" t="s">
        <v>18</v>
      </c>
      <c r="F17" s="212"/>
      <c r="G17" s="101"/>
      <c r="H17" s="59"/>
    </row>
    <row r="18" spans="2:8" ht="41.25" customHeight="1" x14ac:dyDescent="0.2">
      <c r="B18" s="57"/>
      <c r="C18" s="198" t="s">
        <v>19</v>
      </c>
      <c r="D18" s="199"/>
      <c r="E18" s="200" t="s">
        <v>20</v>
      </c>
      <c r="F18" s="201"/>
      <c r="G18" s="102"/>
      <c r="H18" s="59"/>
    </row>
    <row r="19" spans="2:8" ht="37.5" customHeight="1" thickBot="1" x14ac:dyDescent="0.25">
      <c r="B19" s="57"/>
      <c r="C19" s="202" t="s">
        <v>21</v>
      </c>
      <c r="D19" s="203"/>
      <c r="E19" s="204" t="s">
        <v>22</v>
      </c>
      <c r="F19" s="205"/>
      <c r="G19" s="102"/>
      <c r="H19" s="59"/>
    </row>
    <row r="20" spans="2:8" ht="11.25" customHeight="1" x14ac:dyDescent="0.2">
      <c r="B20" s="52"/>
      <c r="C20" s="53"/>
      <c r="D20" s="53"/>
      <c r="E20" s="53"/>
      <c r="F20" s="53"/>
      <c r="G20" s="53"/>
      <c r="H20" s="54"/>
    </row>
    <row r="21" spans="2:8" ht="14.25" customHeight="1" x14ac:dyDescent="0.2">
      <c r="B21" s="55"/>
      <c r="C21" s="206"/>
      <c r="D21" s="206"/>
      <c r="E21" s="207"/>
      <c r="F21" s="207"/>
      <c r="G21" s="207"/>
      <c r="H21" s="56"/>
    </row>
    <row r="22" spans="2:8" ht="36" customHeight="1" x14ac:dyDescent="0.2">
      <c r="B22" s="190" t="s">
        <v>23</v>
      </c>
      <c r="C22" s="191"/>
      <c r="D22" s="191"/>
      <c r="E22" s="191"/>
      <c r="F22" s="191"/>
      <c r="G22" s="191"/>
      <c r="H22" s="192"/>
    </row>
    <row r="23" spans="2:8" ht="13.5" x14ac:dyDescent="0.2">
      <c r="B23" s="57"/>
      <c r="C23" s="58"/>
      <c r="D23" s="58"/>
      <c r="E23" s="193"/>
      <c r="F23" s="193"/>
      <c r="G23" s="51"/>
      <c r="H23" s="59"/>
    </row>
    <row r="24" spans="2:8" ht="13.5" thickBot="1" x14ac:dyDescent="0.25">
      <c r="B24" s="60"/>
      <c r="C24" s="61"/>
      <c r="D24" s="61"/>
      <c r="E24" s="61"/>
      <c r="F24" s="61"/>
      <c r="G24" s="61"/>
      <c r="H24" s="62"/>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 ref="C10:D10"/>
    <mergeCell ref="E10:F10"/>
    <mergeCell ref="C11:D11"/>
    <mergeCell ref="E11:F11"/>
    <mergeCell ref="C12:D12"/>
    <mergeCell ref="E12:F12"/>
    <mergeCell ref="B2:H2"/>
    <mergeCell ref="B3:H4"/>
    <mergeCell ref="B5:H5"/>
    <mergeCell ref="B6:H7"/>
    <mergeCell ref="C9:D9"/>
    <mergeCell ref="E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showGridLines="0" topLeftCell="F10" zoomScale="80" zoomScaleNormal="80" workbookViewId="0">
      <selection activeCell="H19" sqref="H19"/>
    </sheetView>
  </sheetViews>
  <sheetFormatPr baseColWidth="10" defaultColWidth="11.42578125" defaultRowHeight="16.5" x14ac:dyDescent="0.3"/>
  <cols>
    <col min="1" max="1" width="3" style="47" hidden="1" customWidth="1"/>
    <col min="2" max="2" width="9.42578125" style="47" customWidth="1"/>
    <col min="3" max="3" width="25.5703125" style="47" customWidth="1"/>
    <col min="4" max="4" width="46.5703125" style="47" customWidth="1"/>
    <col min="5" max="5" width="10.140625" style="70" customWidth="1"/>
    <col min="6" max="6" width="44.5703125" style="70" customWidth="1"/>
    <col min="7" max="7" width="15.42578125" style="47" customWidth="1"/>
    <col min="8" max="9" width="43" style="47" customWidth="1"/>
    <col min="10" max="10" width="29.42578125" style="75" customWidth="1"/>
    <col min="11" max="12" width="11.42578125" style="75" customWidth="1"/>
    <col min="13" max="24" width="11.42578125" style="47" customWidth="1"/>
    <col min="25" max="16384" width="11.42578125" style="47"/>
  </cols>
  <sheetData>
    <row r="1" spans="1:32" x14ac:dyDescent="0.3">
      <c r="B1" s="46"/>
      <c r="C1" s="46"/>
      <c r="D1" s="46"/>
      <c r="E1" s="69"/>
      <c r="F1" s="69"/>
      <c r="G1" s="46"/>
      <c r="H1" s="46"/>
      <c r="I1" s="46"/>
      <c r="J1" s="71"/>
      <c r="K1" s="71"/>
      <c r="L1" s="72"/>
      <c r="M1" s="46"/>
      <c r="N1" s="46"/>
      <c r="O1" s="46"/>
      <c r="P1" s="46"/>
      <c r="Q1" s="46"/>
      <c r="R1" s="46"/>
      <c r="S1" s="46"/>
      <c r="T1" s="46"/>
      <c r="U1" s="46"/>
      <c r="V1" s="46"/>
      <c r="W1" s="46"/>
      <c r="X1" s="46"/>
    </row>
    <row r="2" spans="1:32" x14ac:dyDescent="0.3">
      <c r="B2" s="46"/>
      <c r="C2" s="46"/>
      <c r="D2" s="46"/>
      <c r="E2" s="69"/>
      <c r="F2" s="69"/>
      <c r="G2" s="46"/>
      <c r="H2" s="46"/>
      <c r="I2" s="46"/>
      <c r="J2" s="71"/>
      <c r="K2" s="71"/>
      <c r="L2" s="72"/>
      <c r="M2" s="46"/>
      <c r="N2" s="46"/>
      <c r="O2" s="46"/>
      <c r="P2" s="46"/>
      <c r="Q2" s="46"/>
      <c r="R2" s="46"/>
      <c r="S2" s="46"/>
      <c r="T2" s="46"/>
      <c r="U2" s="46"/>
      <c r="V2" s="46"/>
      <c r="W2" s="46"/>
      <c r="X2" s="46"/>
    </row>
    <row r="3" spans="1:32" x14ac:dyDescent="0.3">
      <c r="B3" s="46"/>
      <c r="C3" s="46"/>
      <c r="D3" s="46"/>
      <c r="E3" s="69"/>
      <c r="F3" s="69"/>
      <c r="G3" s="46"/>
      <c r="H3" s="46"/>
      <c r="I3" s="46"/>
      <c r="J3" s="71"/>
      <c r="K3" s="71"/>
      <c r="L3" s="72"/>
      <c r="M3" s="46"/>
      <c r="N3" s="46"/>
      <c r="O3" s="46"/>
      <c r="P3" s="46"/>
      <c r="Q3" s="46"/>
      <c r="R3" s="46"/>
      <c r="S3" s="46"/>
      <c r="T3" s="46"/>
      <c r="U3" s="46"/>
      <c r="V3" s="46"/>
      <c r="W3" s="46"/>
      <c r="X3" s="46"/>
    </row>
    <row r="4" spans="1:32" x14ac:dyDescent="0.3">
      <c r="B4" s="46"/>
      <c r="C4" s="46"/>
      <c r="D4" s="46"/>
      <c r="E4" s="69"/>
      <c r="F4" s="69"/>
      <c r="G4" s="46"/>
      <c r="H4" s="46"/>
      <c r="I4" s="46"/>
      <c r="J4" s="71"/>
      <c r="K4" s="71"/>
      <c r="L4" s="72"/>
      <c r="M4" s="46"/>
      <c r="N4" s="46"/>
      <c r="O4" s="46"/>
      <c r="P4" s="46"/>
      <c r="Q4" s="46"/>
      <c r="R4" s="46"/>
      <c r="S4" s="46"/>
      <c r="T4" s="46"/>
      <c r="U4" s="46"/>
      <c r="V4" s="46"/>
      <c r="W4" s="46"/>
      <c r="X4" s="46"/>
    </row>
    <row r="5" spans="1:32" x14ac:dyDescent="0.3">
      <c r="B5" s="46"/>
      <c r="C5" s="46"/>
      <c r="D5" s="46"/>
      <c r="E5" s="69"/>
      <c r="F5" s="69"/>
      <c r="G5" s="46"/>
      <c r="H5" s="46"/>
      <c r="I5" s="46"/>
      <c r="J5" s="71"/>
      <c r="K5" s="71"/>
      <c r="L5" s="72"/>
      <c r="M5" s="46"/>
      <c r="N5" s="46"/>
      <c r="O5" s="46"/>
      <c r="P5" s="46"/>
      <c r="Q5" s="46"/>
      <c r="R5" s="46"/>
      <c r="S5" s="46"/>
      <c r="T5" s="46"/>
      <c r="U5" s="46"/>
      <c r="V5" s="46"/>
      <c r="W5" s="46"/>
      <c r="X5" s="46"/>
    </row>
    <row r="6" spans="1:32" x14ac:dyDescent="0.3">
      <c r="B6" s="46"/>
      <c r="C6" s="46"/>
      <c r="D6" s="46"/>
      <c r="E6" s="69"/>
      <c r="F6" s="69"/>
      <c r="G6" s="46"/>
      <c r="H6" s="46"/>
      <c r="I6" s="46"/>
      <c r="J6" s="71"/>
      <c r="K6" s="71"/>
      <c r="L6" s="72"/>
      <c r="M6" s="46"/>
      <c r="N6" s="46"/>
      <c r="O6" s="46"/>
      <c r="P6" s="46"/>
      <c r="Q6" s="46"/>
      <c r="R6" s="46"/>
      <c r="S6" s="46"/>
      <c r="T6" s="46"/>
      <c r="U6" s="46"/>
      <c r="V6" s="46"/>
      <c r="W6" s="46"/>
      <c r="X6" s="46"/>
    </row>
    <row r="7" spans="1:32" x14ac:dyDescent="0.3">
      <c r="B7" s="46"/>
      <c r="C7" s="46"/>
      <c r="D7" s="46"/>
      <c r="E7" s="69"/>
      <c r="F7" s="69"/>
      <c r="G7" s="46"/>
      <c r="H7" s="46"/>
      <c r="I7" s="46"/>
      <c r="J7" s="71"/>
      <c r="K7" s="71"/>
      <c r="L7" s="72"/>
      <c r="M7" s="46"/>
      <c r="N7" s="46"/>
      <c r="O7" s="46"/>
      <c r="P7" s="46"/>
      <c r="Q7" s="46"/>
      <c r="R7" s="46"/>
      <c r="S7" s="46"/>
      <c r="T7" s="46"/>
      <c r="U7" s="46"/>
      <c r="V7" s="46"/>
      <c r="W7" s="46"/>
      <c r="X7" s="46"/>
    </row>
    <row r="8" spans="1:32" x14ac:dyDescent="0.3">
      <c r="B8" s="46"/>
      <c r="C8" s="46"/>
      <c r="D8" s="46"/>
      <c r="E8" s="69"/>
      <c r="F8" s="69"/>
      <c r="G8" s="46"/>
      <c r="H8" s="46"/>
      <c r="I8" s="46"/>
      <c r="J8" s="71"/>
      <c r="K8" s="71"/>
      <c r="L8" s="72"/>
      <c r="M8" s="46"/>
      <c r="N8" s="46"/>
      <c r="O8" s="46"/>
      <c r="P8" s="46"/>
      <c r="Q8" s="46"/>
      <c r="R8" s="46"/>
      <c r="S8" s="46"/>
      <c r="T8" s="46"/>
      <c r="U8" s="46"/>
      <c r="V8" s="46"/>
      <c r="W8" s="46"/>
      <c r="X8" s="46"/>
    </row>
    <row r="9" spans="1:32" x14ac:dyDescent="0.3">
      <c r="B9" s="46"/>
      <c r="C9" s="46"/>
      <c r="D9" s="46"/>
      <c r="E9" s="69"/>
      <c r="F9" s="69"/>
      <c r="G9" s="46"/>
      <c r="H9" s="46"/>
      <c r="I9" s="46"/>
      <c r="J9" s="71"/>
      <c r="K9" s="71"/>
      <c r="L9" s="72"/>
      <c r="M9" s="46"/>
      <c r="N9" s="46"/>
      <c r="O9" s="46"/>
      <c r="P9" s="46"/>
      <c r="Q9" s="46"/>
      <c r="R9" s="46"/>
      <c r="S9" s="46"/>
      <c r="T9" s="46"/>
      <c r="U9" s="46"/>
      <c r="V9" s="46"/>
      <c r="W9" s="46"/>
      <c r="X9" s="46"/>
    </row>
    <row r="10" spans="1:32" x14ac:dyDescent="0.3">
      <c r="B10" s="46"/>
      <c r="C10" s="46"/>
      <c r="D10" s="46"/>
      <c r="E10" s="69"/>
      <c r="F10" s="69"/>
      <c r="G10" s="46"/>
      <c r="H10" s="46"/>
      <c r="I10" s="46"/>
      <c r="J10" s="71"/>
      <c r="K10" s="71"/>
      <c r="L10" s="72"/>
      <c r="M10" s="46"/>
      <c r="N10" s="46"/>
      <c r="O10" s="46"/>
      <c r="P10" s="46"/>
      <c r="Q10" s="46"/>
      <c r="R10" s="46"/>
      <c r="S10" s="46"/>
      <c r="T10" s="46"/>
      <c r="U10" s="46"/>
      <c r="V10" s="46"/>
      <c r="W10" s="46"/>
      <c r="X10" s="46"/>
    </row>
    <row r="11" spans="1:32" x14ac:dyDescent="0.3">
      <c r="B11" s="46"/>
      <c r="C11" s="46"/>
      <c r="D11" s="46"/>
      <c r="E11" s="69"/>
      <c r="F11" s="69"/>
      <c r="G11" s="46"/>
      <c r="H11" s="46"/>
      <c r="I11" s="46"/>
      <c r="J11" s="71"/>
      <c r="K11" s="71"/>
      <c r="L11" s="72"/>
      <c r="M11" s="46"/>
      <c r="N11" s="46"/>
      <c r="O11" s="46"/>
      <c r="P11" s="46"/>
      <c r="Q11" s="46"/>
      <c r="R11" s="46"/>
      <c r="S11" s="46"/>
      <c r="T11" s="46"/>
      <c r="U11" s="46"/>
      <c r="V11" s="46"/>
      <c r="W11" s="46"/>
      <c r="X11" s="46"/>
    </row>
    <row r="12" spans="1:32" x14ac:dyDescent="0.3">
      <c r="B12" s="46"/>
      <c r="C12" s="46"/>
      <c r="D12" s="46"/>
      <c r="E12" s="69"/>
      <c r="F12" s="69"/>
      <c r="G12" s="46"/>
      <c r="H12" s="46"/>
      <c r="I12" s="46"/>
      <c r="J12" s="71"/>
      <c r="K12" s="71"/>
      <c r="L12" s="72"/>
      <c r="M12" s="46"/>
      <c r="N12" s="46"/>
      <c r="O12" s="46"/>
      <c r="P12" s="46"/>
      <c r="Q12" s="46"/>
      <c r="R12" s="46"/>
      <c r="S12" s="46"/>
      <c r="T12" s="46"/>
      <c r="U12" s="46"/>
      <c r="V12" s="46"/>
      <c r="W12" s="46"/>
      <c r="X12" s="46"/>
    </row>
    <row r="13" spans="1:32" x14ac:dyDescent="0.3">
      <c r="B13" s="46"/>
      <c r="C13" s="46"/>
      <c r="D13" s="46"/>
      <c r="E13" s="69"/>
      <c r="F13" s="69"/>
      <c r="G13" s="46"/>
      <c r="H13" s="46"/>
      <c r="I13" s="46"/>
      <c r="J13" s="71"/>
      <c r="K13" s="71"/>
      <c r="L13" s="72"/>
      <c r="M13" s="46"/>
      <c r="N13" s="46"/>
      <c r="O13" s="46"/>
      <c r="P13" s="46"/>
      <c r="Q13" s="46"/>
      <c r="R13" s="46"/>
      <c r="S13" s="46"/>
      <c r="T13" s="46"/>
      <c r="U13" s="46"/>
      <c r="V13" s="46"/>
      <c r="W13" s="46"/>
      <c r="X13" s="46"/>
    </row>
    <row r="14" spans="1:32" s="49" customFormat="1" ht="49.5" customHeight="1" x14ac:dyDescent="0.25">
      <c r="B14" s="244" t="s">
        <v>24</v>
      </c>
      <c r="C14" s="244"/>
      <c r="D14" s="244"/>
      <c r="E14" s="244"/>
      <c r="F14" s="244"/>
      <c r="G14" s="244"/>
      <c r="H14" s="244"/>
      <c r="I14" s="244"/>
      <c r="J14" s="73"/>
      <c r="K14" s="73"/>
      <c r="L14" s="74"/>
      <c r="M14" s="48"/>
      <c r="N14" s="48"/>
      <c r="O14" s="48"/>
      <c r="P14" s="48"/>
      <c r="Q14" s="48"/>
      <c r="R14" s="48"/>
      <c r="S14" s="48"/>
      <c r="T14" s="48"/>
      <c r="U14" s="48"/>
      <c r="V14" s="48"/>
      <c r="W14" s="48"/>
      <c r="X14" s="48"/>
      <c r="Y14" s="48"/>
      <c r="Z14" s="48"/>
      <c r="AA14" s="48"/>
      <c r="AB14" s="48"/>
      <c r="AC14" s="48"/>
      <c r="AD14" s="48"/>
      <c r="AE14" s="48"/>
      <c r="AF14" s="48"/>
    </row>
    <row r="15" spans="1:32" s="49" customFormat="1" ht="123.75" customHeight="1" thickBot="1" x14ac:dyDescent="0.3">
      <c r="B15" s="77" t="s">
        <v>25</v>
      </c>
      <c r="C15" s="77" t="s">
        <v>6</v>
      </c>
      <c r="D15" s="78" t="s">
        <v>8</v>
      </c>
      <c r="E15" s="79" t="s">
        <v>26</v>
      </c>
      <c r="F15" s="79" t="s">
        <v>27</v>
      </c>
      <c r="G15" s="79" t="s">
        <v>28</v>
      </c>
      <c r="H15" s="80" t="s">
        <v>29</v>
      </c>
      <c r="I15" s="79" t="s">
        <v>30</v>
      </c>
      <c r="J15" s="73"/>
      <c r="K15" s="73"/>
      <c r="L15" s="74"/>
      <c r="M15" s="48"/>
      <c r="N15" s="48"/>
      <c r="O15" s="48"/>
      <c r="P15" s="48"/>
      <c r="Q15" s="48"/>
      <c r="R15" s="48"/>
      <c r="S15" s="48"/>
      <c r="T15" s="48"/>
      <c r="U15" s="48"/>
      <c r="V15" s="48"/>
      <c r="W15" s="48"/>
      <c r="X15" s="48"/>
      <c r="Y15" s="48"/>
      <c r="Z15" s="48"/>
      <c r="AA15" s="48"/>
      <c r="AB15" s="48"/>
      <c r="AC15" s="48"/>
      <c r="AD15" s="48"/>
      <c r="AE15" s="48"/>
      <c r="AF15" s="48"/>
    </row>
    <row r="16" spans="1:32" s="49" customFormat="1" ht="71.25" customHeight="1" x14ac:dyDescent="0.25">
      <c r="A16" s="103" t="str">
        <f>1&amp;E16</f>
        <v>1a</v>
      </c>
      <c r="B16" s="255" t="s">
        <v>31</v>
      </c>
      <c r="C16" s="219" t="s">
        <v>32</v>
      </c>
      <c r="D16" s="252" t="s">
        <v>33</v>
      </c>
      <c r="E16" s="81" t="s">
        <v>34</v>
      </c>
      <c r="F16" s="82" t="s">
        <v>35</v>
      </c>
      <c r="G16" s="112" t="s">
        <v>36</v>
      </c>
      <c r="H16" s="113" t="s">
        <v>228</v>
      </c>
      <c r="I16" s="104" t="str">
        <f>+IF(G16="Si","Mantenimiento del control",IF(G16="En proceso","Oportunidad de mejora","Deficiencia de control"))</f>
        <v>Deficiencia de control</v>
      </c>
      <c r="J16" s="105">
        <f t="shared" ref="J16:J27" si="0">+IF(G16="Si",20,IF(G16="En proceso",10,0))</f>
        <v>0</v>
      </c>
      <c r="K16" s="105">
        <v>0.123</v>
      </c>
      <c r="L16" s="105">
        <f>+J16+K16</f>
        <v>0.123</v>
      </c>
    </row>
    <row r="17" spans="1:32" s="49" customFormat="1" ht="63" x14ac:dyDescent="0.25">
      <c r="A17" s="103" t="str">
        <f t="shared" ref="A17:A27" si="1">1&amp;E17</f>
        <v>1b</v>
      </c>
      <c r="B17" s="256"/>
      <c r="C17" s="220"/>
      <c r="D17" s="253"/>
      <c r="E17" s="83" t="s">
        <v>37</v>
      </c>
      <c r="F17" s="84" t="s">
        <v>38</v>
      </c>
      <c r="G17" s="114" t="s">
        <v>76</v>
      </c>
      <c r="H17" s="115" t="s">
        <v>192</v>
      </c>
      <c r="I17" s="106" t="str">
        <f t="shared" ref="I17:I59" si="2">+IF(G17="Si","Mantenimiento del control",IF(G17="En proceso","Oportunidad de mejora","Deficiencia de control"))</f>
        <v>Oportunidad de mejora</v>
      </c>
      <c r="J17" s="107">
        <f t="shared" si="0"/>
        <v>10</v>
      </c>
      <c r="K17" s="105">
        <v>0.1234</v>
      </c>
      <c r="L17" s="105">
        <f t="shared" ref="L17:L59" si="3">+J17+K17</f>
        <v>10.1234</v>
      </c>
    </row>
    <row r="18" spans="1:32" s="49" customFormat="1" ht="64.5" customHeight="1" x14ac:dyDescent="0.25">
      <c r="A18" s="103" t="str">
        <f t="shared" si="1"/>
        <v>1c</v>
      </c>
      <c r="B18" s="256"/>
      <c r="C18" s="220"/>
      <c r="D18" s="253"/>
      <c r="E18" s="83" t="s">
        <v>40</v>
      </c>
      <c r="F18" s="85" t="s">
        <v>41</v>
      </c>
      <c r="G18" s="116" t="s">
        <v>39</v>
      </c>
      <c r="H18" s="117" t="s">
        <v>227</v>
      </c>
      <c r="I18" s="108" t="str">
        <f t="shared" si="2"/>
        <v>Mantenimiento del control</v>
      </c>
      <c r="J18" s="107">
        <f t="shared" si="0"/>
        <v>20</v>
      </c>
      <c r="K18" s="105">
        <v>0.12345</v>
      </c>
      <c r="L18" s="105">
        <f t="shared" si="3"/>
        <v>20.123449999999998</v>
      </c>
    </row>
    <row r="19" spans="1:32" s="49" customFormat="1" ht="37.5" customHeight="1" x14ac:dyDescent="0.25">
      <c r="A19" s="103" t="str">
        <f t="shared" si="1"/>
        <v>1d</v>
      </c>
      <c r="B19" s="256"/>
      <c r="C19" s="220"/>
      <c r="D19" s="253"/>
      <c r="E19" s="83" t="s">
        <v>42</v>
      </c>
      <c r="F19" s="85" t="s">
        <v>43</v>
      </c>
      <c r="G19" s="116" t="s">
        <v>39</v>
      </c>
      <c r="H19" s="117" t="s">
        <v>225</v>
      </c>
      <c r="I19" s="108" t="str">
        <f t="shared" si="2"/>
        <v>Mantenimiento del control</v>
      </c>
      <c r="J19" s="107">
        <f t="shared" si="0"/>
        <v>20</v>
      </c>
      <c r="K19" s="105">
        <v>0.123456</v>
      </c>
      <c r="L19" s="105">
        <f t="shared" si="3"/>
        <v>20.123456000000001</v>
      </c>
    </row>
    <row r="20" spans="1:32" s="49" customFormat="1" ht="37.5" customHeight="1" x14ac:dyDescent="0.25">
      <c r="A20" s="103" t="str">
        <f t="shared" si="1"/>
        <v>1e</v>
      </c>
      <c r="B20" s="256"/>
      <c r="C20" s="220"/>
      <c r="D20" s="253"/>
      <c r="E20" s="83" t="s">
        <v>44</v>
      </c>
      <c r="F20" s="85" t="s">
        <v>45</v>
      </c>
      <c r="G20" s="116" t="s">
        <v>39</v>
      </c>
      <c r="H20" s="117" t="s">
        <v>193</v>
      </c>
      <c r="I20" s="108" t="str">
        <f t="shared" si="2"/>
        <v>Mantenimiento del control</v>
      </c>
      <c r="J20" s="107">
        <f t="shared" si="0"/>
        <v>20</v>
      </c>
      <c r="K20" s="105">
        <v>0.12345678</v>
      </c>
      <c r="L20" s="105">
        <f t="shared" si="3"/>
        <v>20.123456780000001</v>
      </c>
    </row>
    <row r="21" spans="1:32" s="49" customFormat="1" ht="63.75" customHeight="1" x14ac:dyDescent="0.25">
      <c r="A21" s="103" t="str">
        <f t="shared" si="1"/>
        <v>1f</v>
      </c>
      <c r="B21" s="256"/>
      <c r="C21" s="220"/>
      <c r="D21" s="253"/>
      <c r="E21" s="83" t="s">
        <v>46</v>
      </c>
      <c r="F21" s="85" t="s">
        <v>47</v>
      </c>
      <c r="G21" s="116" t="s">
        <v>36</v>
      </c>
      <c r="H21" s="117" t="s">
        <v>194</v>
      </c>
      <c r="I21" s="108" t="str">
        <f t="shared" si="2"/>
        <v>Deficiencia de control</v>
      </c>
      <c r="J21" s="107">
        <f t="shared" si="0"/>
        <v>0</v>
      </c>
      <c r="K21" s="105">
        <v>0.123456789</v>
      </c>
      <c r="L21" s="105">
        <f t="shared" si="3"/>
        <v>0.123456789</v>
      </c>
    </row>
    <row r="22" spans="1:32" s="49" customFormat="1" ht="65.25" customHeight="1" x14ac:dyDescent="0.25">
      <c r="A22" s="103" t="str">
        <f t="shared" si="1"/>
        <v>1g</v>
      </c>
      <c r="B22" s="256"/>
      <c r="C22" s="220"/>
      <c r="D22" s="253"/>
      <c r="E22" s="83" t="s">
        <v>48</v>
      </c>
      <c r="F22" s="85" t="s">
        <v>49</v>
      </c>
      <c r="G22" s="116" t="s">
        <v>39</v>
      </c>
      <c r="H22" s="117" t="s">
        <v>226</v>
      </c>
      <c r="I22" s="108" t="str">
        <f t="shared" si="2"/>
        <v>Mantenimiento del control</v>
      </c>
      <c r="J22" s="107">
        <f t="shared" si="0"/>
        <v>20</v>
      </c>
      <c r="K22" s="105">
        <v>0.12345678910000001</v>
      </c>
      <c r="L22" s="105">
        <f t="shared" si="3"/>
        <v>20.1234567891</v>
      </c>
    </row>
    <row r="23" spans="1:32" s="49" customFormat="1" ht="62.25" customHeight="1" x14ac:dyDescent="0.25">
      <c r="A23" s="103" t="str">
        <f t="shared" si="1"/>
        <v>1h</v>
      </c>
      <c r="B23" s="256"/>
      <c r="C23" s="220"/>
      <c r="D23" s="253"/>
      <c r="E23" s="83" t="s">
        <v>50</v>
      </c>
      <c r="F23" s="85" t="s">
        <v>51</v>
      </c>
      <c r="G23" s="116" t="s">
        <v>36</v>
      </c>
      <c r="H23" s="117" t="s">
        <v>195</v>
      </c>
      <c r="I23" s="108" t="str">
        <f t="shared" si="2"/>
        <v>Deficiencia de control</v>
      </c>
      <c r="J23" s="107">
        <f t="shared" si="0"/>
        <v>0</v>
      </c>
      <c r="K23" s="105">
        <v>0.12345678911999999</v>
      </c>
      <c r="L23" s="105">
        <f t="shared" si="3"/>
        <v>0.12345678911999999</v>
      </c>
    </row>
    <row r="24" spans="1:32" s="49" customFormat="1" ht="57.75" customHeight="1" x14ac:dyDescent="0.25">
      <c r="A24" s="103" t="str">
        <f t="shared" si="1"/>
        <v>1i</v>
      </c>
      <c r="B24" s="256"/>
      <c r="C24" s="220"/>
      <c r="D24" s="253"/>
      <c r="E24" s="83" t="s">
        <v>52</v>
      </c>
      <c r="F24" s="85" t="s">
        <v>53</v>
      </c>
      <c r="G24" s="116" t="s">
        <v>39</v>
      </c>
      <c r="H24" s="163" t="s">
        <v>197</v>
      </c>
      <c r="I24" s="108" t="str">
        <f t="shared" si="2"/>
        <v>Mantenimiento del control</v>
      </c>
      <c r="J24" s="107">
        <f t="shared" si="0"/>
        <v>20</v>
      </c>
      <c r="K24" s="105">
        <v>0.123456789123</v>
      </c>
      <c r="L24" s="105">
        <f t="shared" si="3"/>
        <v>20.123456789123001</v>
      </c>
    </row>
    <row r="25" spans="1:32" s="49" customFormat="1" ht="52.5" customHeight="1" x14ac:dyDescent="0.25">
      <c r="A25" s="103" t="str">
        <f t="shared" si="1"/>
        <v>1j</v>
      </c>
      <c r="B25" s="256"/>
      <c r="C25" s="220"/>
      <c r="D25" s="253"/>
      <c r="E25" s="83" t="s">
        <v>54</v>
      </c>
      <c r="F25" s="85" t="s">
        <v>55</v>
      </c>
      <c r="G25" s="116" t="s">
        <v>36</v>
      </c>
      <c r="H25" s="117" t="s">
        <v>196</v>
      </c>
      <c r="I25" s="108" t="str">
        <f t="shared" si="2"/>
        <v>Deficiencia de control</v>
      </c>
      <c r="J25" s="107">
        <f t="shared" si="0"/>
        <v>0</v>
      </c>
      <c r="K25" s="105">
        <v>0.1234567891234</v>
      </c>
      <c r="L25" s="105">
        <f t="shared" si="3"/>
        <v>0.1234567891234</v>
      </c>
    </row>
    <row r="26" spans="1:32" s="49" customFormat="1" ht="44.25" customHeight="1" x14ac:dyDescent="0.25">
      <c r="A26" s="103" t="str">
        <f t="shared" si="1"/>
        <v>1k</v>
      </c>
      <c r="B26" s="256"/>
      <c r="C26" s="220"/>
      <c r="D26" s="253"/>
      <c r="E26" s="83" t="s">
        <v>56</v>
      </c>
      <c r="F26" s="85" t="s">
        <v>57</v>
      </c>
      <c r="G26" s="116" t="s">
        <v>39</v>
      </c>
      <c r="H26" s="117" t="s">
        <v>198</v>
      </c>
      <c r="I26" s="108" t="str">
        <f t="shared" si="2"/>
        <v>Mantenimiento del control</v>
      </c>
      <c r="J26" s="107">
        <f t="shared" si="0"/>
        <v>20</v>
      </c>
      <c r="K26" s="105">
        <v>0.12345678912345</v>
      </c>
      <c r="L26" s="105">
        <f t="shared" si="3"/>
        <v>20.123456789123448</v>
      </c>
    </row>
    <row r="27" spans="1:32" s="49" customFormat="1" ht="50.25" thickBot="1" x14ac:dyDescent="0.3">
      <c r="A27" s="103" t="str">
        <f t="shared" si="1"/>
        <v>1l</v>
      </c>
      <c r="B27" s="257"/>
      <c r="C27" s="221"/>
      <c r="D27" s="254"/>
      <c r="E27" s="86" t="s">
        <v>58</v>
      </c>
      <c r="F27" s="87" t="s">
        <v>59</v>
      </c>
      <c r="G27" s="118" t="s">
        <v>39</v>
      </c>
      <c r="H27" s="117" t="s">
        <v>199</v>
      </c>
      <c r="I27" s="109" t="str">
        <f t="shared" si="2"/>
        <v>Mantenimiento del control</v>
      </c>
      <c r="J27" s="107">
        <f t="shared" si="0"/>
        <v>20</v>
      </c>
      <c r="K27" s="105">
        <v>0.12345678912345601</v>
      </c>
      <c r="L27" s="105">
        <f t="shared" si="3"/>
        <v>20.123456789123455</v>
      </c>
    </row>
    <row r="28" spans="1:32" s="49" customFormat="1" ht="55.5" customHeight="1" thickBot="1" x14ac:dyDescent="0.3">
      <c r="A28" s="103" t="str">
        <f>2&amp;E28</f>
        <v>2a</v>
      </c>
      <c r="B28" s="258" t="s">
        <v>60</v>
      </c>
      <c r="C28" s="222" t="s">
        <v>61</v>
      </c>
      <c r="D28" s="261" t="s">
        <v>62</v>
      </c>
      <c r="E28" s="81" t="s">
        <v>34</v>
      </c>
      <c r="F28" s="82" t="s">
        <v>63</v>
      </c>
      <c r="G28" s="112" t="s">
        <v>39</v>
      </c>
      <c r="H28" s="113" t="s">
        <v>200</v>
      </c>
      <c r="I28" s="104" t="str">
        <f t="shared" si="2"/>
        <v>Mantenimiento del control</v>
      </c>
      <c r="J28" s="105">
        <f>+IF(G28="Si",40,IF(G28="En proceso",30,20))</f>
        <v>40</v>
      </c>
      <c r="K28" s="105">
        <v>0.23</v>
      </c>
      <c r="L28" s="105">
        <f t="shared" si="3"/>
        <v>40.229999999999997</v>
      </c>
    </row>
    <row r="29" spans="1:32" s="49" customFormat="1" ht="66" x14ac:dyDescent="0.25">
      <c r="A29" s="103" t="str">
        <f t="shared" ref="A29:A31" si="4">2&amp;E29</f>
        <v>2b</v>
      </c>
      <c r="B29" s="259"/>
      <c r="C29" s="223"/>
      <c r="D29" s="237"/>
      <c r="E29" s="83" t="s">
        <v>37</v>
      </c>
      <c r="F29" s="85" t="s">
        <v>64</v>
      </c>
      <c r="G29" s="116" t="s">
        <v>39</v>
      </c>
      <c r="H29" s="113" t="s">
        <v>201</v>
      </c>
      <c r="I29" s="108" t="str">
        <f t="shared" si="2"/>
        <v>Mantenimiento del control</v>
      </c>
      <c r="J29" s="105">
        <f>+IF(G29="Si",40,IF(G29="En proceso",30,20))</f>
        <v>40</v>
      </c>
      <c r="K29" s="105">
        <v>0.23400000000000001</v>
      </c>
      <c r="L29" s="105">
        <f t="shared" si="3"/>
        <v>40.234000000000002</v>
      </c>
    </row>
    <row r="30" spans="1:32" s="49" customFormat="1" ht="49.5" x14ac:dyDescent="0.25">
      <c r="A30" s="103" t="str">
        <f t="shared" si="4"/>
        <v>2c</v>
      </c>
      <c r="B30" s="259"/>
      <c r="C30" s="223"/>
      <c r="D30" s="237"/>
      <c r="E30" s="83" t="s">
        <v>40</v>
      </c>
      <c r="F30" s="85" t="s">
        <v>65</v>
      </c>
      <c r="G30" s="116" t="s">
        <v>36</v>
      </c>
      <c r="H30" s="117" t="s">
        <v>202</v>
      </c>
      <c r="I30" s="108" t="str">
        <f t="shared" si="2"/>
        <v>Deficiencia de control</v>
      </c>
      <c r="J30" s="105">
        <f>+IF(G30="Si",40,IF(G30="En proceso",30,20))</f>
        <v>20</v>
      </c>
      <c r="K30" s="105">
        <v>0.23449999999999999</v>
      </c>
      <c r="L30" s="105">
        <f t="shared" si="3"/>
        <v>20.234500000000001</v>
      </c>
    </row>
    <row r="31" spans="1:32" s="49" customFormat="1" ht="66.75" thickBot="1" x14ac:dyDescent="0.3">
      <c r="A31" s="103" t="str">
        <f t="shared" si="4"/>
        <v>2d</v>
      </c>
      <c r="B31" s="260"/>
      <c r="C31" s="224"/>
      <c r="D31" s="262"/>
      <c r="E31" s="86" t="s">
        <v>42</v>
      </c>
      <c r="F31" s="87" t="s">
        <v>66</v>
      </c>
      <c r="G31" s="118" t="s">
        <v>36</v>
      </c>
      <c r="H31" s="117" t="s">
        <v>203</v>
      </c>
      <c r="I31" s="109" t="str">
        <f t="shared" si="2"/>
        <v>Deficiencia de control</v>
      </c>
      <c r="J31" s="105">
        <f>+IF(G31="Si",40,IF(G31="En proceso",30,20))</f>
        <v>20</v>
      </c>
      <c r="K31" s="105">
        <v>0.23455999999999999</v>
      </c>
      <c r="L31" s="105">
        <f t="shared" si="3"/>
        <v>20.234559999999998</v>
      </c>
    </row>
    <row r="32" spans="1:32" s="49" customFormat="1" ht="49.5" customHeight="1" x14ac:dyDescent="0.25">
      <c r="A32" s="103" t="str">
        <f>3&amp;E32</f>
        <v>3a</v>
      </c>
      <c r="B32" s="234" t="s">
        <v>67</v>
      </c>
      <c r="C32" s="234" t="s">
        <v>61</v>
      </c>
      <c r="D32" s="235" t="s">
        <v>68</v>
      </c>
      <c r="E32" s="88" t="s">
        <v>34</v>
      </c>
      <c r="F32" s="85" t="s">
        <v>69</v>
      </c>
      <c r="G32" s="116" t="s">
        <v>36</v>
      </c>
      <c r="H32" s="117" t="s">
        <v>204</v>
      </c>
      <c r="I32" s="108" t="str">
        <f t="shared" si="2"/>
        <v>Deficiencia de control</v>
      </c>
      <c r="J32" s="105">
        <f t="shared" ref="J32:J37" si="5">+IF(G32="Si",40,IF(G32="En proceso",30,20))</f>
        <v>20</v>
      </c>
      <c r="K32" s="110">
        <v>0.234567</v>
      </c>
      <c r="L32" s="105">
        <f t="shared" ref="L32:L37" si="6">+J32+K32</f>
        <v>20.234566999999998</v>
      </c>
      <c r="M32" s="48"/>
      <c r="N32" s="48"/>
      <c r="O32" s="48"/>
      <c r="P32" s="48"/>
      <c r="Q32" s="48"/>
      <c r="R32" s="48"/>
      <c r="S32" s="48"/>
      <c r="T32" s="48"/>
      <c r="U32" s="48"/>
      <c r="V32" s="48"/>
      <c r="W32" s="48"/>
      <c r="X32" s="48"/>
      <c r="Y32" s="48"/>
      <c r="Z32" s="48"/>
      <c r="AA32" s="48"/>
      <c r="AB32" s="48"/>
      <c r="AC32" s="48"/>
      <c r="AD32" s="48"/>
      <c r="AE32" s="48"/>
      <c r="AF32" s="48"/>
    </row>
    <row r="33" spans="1:32" s="49" customFormat="1" ht="49.5" customHeight="1" x14ac:dyDescent="0.25">
      <c r="A33" s="103" t="str">
        <f t="shared" ref="A33:A34" si="7">3&amp;E33</f>
        <v>3b</v>
      </c>
      <c r="B33" s="234"/>
      <c r="C33" s="234"/>
      <c r="D33" s="235"/>
      <c r="E33" s="88" t="s">
        <v>37</v>
      </c>
      <c r="F33" s="85" t="s">
        <v>70</v>
      </c>
      <c r="G33" s="116" t="s">
        <v>36</v>
      </c>
      <c r="H33" s="117" t="s">
        <v>204</v>
      </c>
      <c r="I33" s="108" t="str">
        <f t="shared" si="2"/>
        <v>Deficiencia de control</v>
      </c>
      <c r="J33" s="105">
        <f t="shared" si="5"/>
        <v>20</v>
      </c>
      <c r="K33" s="110">
        <v>0.23456779999999999</v>
      </c>
      <c r="L33" s="105">
        <f t="shared" si="6"/>
        <v>20.234567800000001</v>
      </c>
      <c r="M33" s="48"/>
      <c r="N33" s="48"/>
      <c r="O33" s="48"/>
      <c r="P33" s="48"/>
      <c r="Q33" s="48"/>
      <c r="R33" s="48"/>
      <c r="S33" s="48"/>
      <c r="T33" s="48"/>
      <c r="U33" s="48"/>
      <c r="V33" s="48"/>
      <c r="W33" s="48"/>
      <c r="X33" s="48"/>
      <c r="Y33" s="48"/>
      <c r="Z33" s="48"/>
      <c r="AA33" s="48"/>
      <c r="AB33" s="48"/>
      <c r="AC33" s="48"/>
      <c r="AD33" s="48"/>
      <c r="AE33" s="48"/>
      <c r="AF33" s="48"/>
    </row>
    <row r="34" spans="1:32" s="49" customFormat="1" ht="66" customHeight="1" thickBot="1" x14ac:dyDescent="0.3">
      <c r="A34" s="103" t="str">
        <f t="shared" si="7"/>
        <v>3c</v>
      </c>
      <c r="B34" s="234"/>
      <c r="C34" s="234"/>
      <c r="D34" s="235"/>
      <c r="E34" s="88" t="s">
        <v>40</v>
      </c>
      <c r="F34" s="85" t="s">
        <v>71</v>
      </c>
      <c r="G34" s="116" t="s">
        <v>36</v>
      </c>
      <c r="H34" s="117" t="s">
        <v>204</v>
      </c>
      <c r="I34" s="108" t="str">
        <f t="shared" si="2"/>
        <v>Deficiencia de control</v>
      </c>
      <c r="J34" s="105">
        <f t="shared" si="5"/>
        <v>20</v>
      </c>
      <c r="K34" s="110">
        <v>0.23456789</v>
      </c>
      <c r="L34" s="105">
        <f t="shared" si="6"/>
        <v>20.234567890000001</v>
      </c>
      <c r="M34" s="48"/>
      <c r="N34" s="48"/>
      <c r="O34" s="48"/>
      <c r="P34" s="48"/>
      <c r="Q34" s="48"/>
      <c r="R34" s="48"/>
      <c r="S34" s="48"/>
      <c r="T34" s="48"/>
      <c r="U34" s="48"/>
      <c r="V34" s="48"/>
      <c r="W34" s="48"/>
      <c r="X34" s="48"/>
      <c r="Y34" s="48"/>
      <c r="Z34" s="48"/>
      <c r="AA34" s="48"/>
      <c r="AB34" s="48"/>
      <c r="AC34" s="48"/>
      <c r="AD34" s="48"/>
      <c r="AE34" s="48"/>
      <c r="AF34" s="48"/>
    </row>
    <row r="35" spans="1:32" s="49" customFormat="1" ht="87" customHeight="1" thickBot="1" x14ac:dyDescent="0.3">
      <c r="A35" s="103" t="str">
        <f>4&amp;E35</f>
        <v>4a</v>
      </c>
      <c r="B35" s="236" t="s">
        <v>72</v>
      </c>
      <c r="C35" s="223" t="s">
        <v>61</v>
      </c>
      <c r="D35" s="237" t="s">
        <v>73</v>
      </c>
      <c r="E35" s="81" t="s">
        <v>34</v>
      </c>
      <c r="F35" s="82" t="s">
        <v>74</v>
      </c>
      <c r="G35" s="112" t="s">
        <v>36</v>
      </c>
      <c r="H35" s="113" t="s">
        <v>205</v>
      </c>
      <c r="I35" s="104" t="str">
        <f t="shared" si="2"/>
        <v>Deficiencia de control</v>
      </c>
      <c r="J35" s="105">
        <f t="shared" si="5"/>
        <v>20</v>
      </c>
      <c r="K35" s="110">
        <v>0.23456789119999999</v>
      </c>
      <c r="L35" s="105">
        <f t="shared" si="6"/>
        <v>20.234567891200001</v>
      </c>
      <c r="M35" s="48"/>
      <c r="N35" s="48"/>
      <c r="O35" s="48"/>
      <c r="P35" s="48"/>
      <c r="Q35" s="48"/>
    </row>
    <row r="36" spans="1:32" s="49" customFormat="1" ht="87" customHeight="1" thickBot="1" x14ac:dyDescent="0.3">
      <c r="A36" s="103" t="str">
        <f t="shared" ref="A36:A37" si="8">4&amp;E36</f>
        <v>4b</v>
      </c>
      <c r="B36" s="236"/>
      <c r="C36" s="223"/>
      <c r="D36" s="237"/>
      <c r="E36" s="83" t="s">
        <v>37</v>
      </c>
      <c r="F36" s="85" t="s">
        <v>75</v>
      </c>
      <c r="G36" s="116" t="s">
        <v>36</v>
      </c>
      <c r="H36" s="113" t="s">
        <v>205</v>
      </c>
      <c r="I36" s="108" t="str">
        <f t="shared" si="2"/>
        <v>Deficiencia de control</v>
      </c>
      <c r="J36" s="105">
        <f t="shared" si="5"/>
        <v>20</v>
      </c>
      <c r="K36" s="110">
        <v>0.23456789122999999</v>
      </c>
      <c r="L36" s="105">
        <f t="shared" si="6"/>
        <v>20.23456789123</v>
      </c>
      <c r="M36" s="48"/>
      <c r="N36" s="48"/>
      <c r="O36" s="48"/>
      <c r="P36" s="48"/>
      <c r="Q36" s="48"/>
    </row>
    <row r="37" spans="1:32" s="49" customFormat="1" ht="87" customHeight="1" thickBot="1" x14ac:dyDescent="0.3">
      <c r="A37" s="103" t="str">
        <f t="shared" si="8"/>
        <v>4c</v>
      </c>
      <c r="B37" s="236"/>
      <c r="C37" s="223"/>
      <c r="D37" s="237"/>
      <c r="E37" s="83" t="s">
        <v>40</v>
      </c>
      <c r="F37" s="85" t="s">
        <v>77</v>
      </c>
      <c r="G37" s="116" t="s">
        <v>39</v>
      </c>
      <c r="H37" s="113" t="s">
        <v>206</v>
      </c>
      <c r="I37" s="108" t="str">
        <f t="shared" si="2"/>
        <v>Mantenimiento del control</v>
      </c>
      <c r="J37" s="105">
        <f t="shared" si="5"/>
        <v>40</v>
      </c>
      <c r="K37" s="110">
        <v>0.23456789123399999</v>
      </c>
      <c r="L37" s="105">
        <f t="shared" si="6"/>
        <v>40.234567891234001</v>
      </c>
      <c r="M37" s="48"/>
      <c r="N37" s="48"/>
      <c r="O37" s="48"/>
      <c r="P37" s="48"/>
      <c r="Q37" s="48"/>
    </row>
    <row r="38" spans="1:32" s="49" customFormat="1" ht="85.5" customHeight="1" x14ac:dyDescent="0.25">
      <c r="A38" s="103" t="str">
        <f>5&amp;E38</f>
        <v>5a</v>
      </c>
      <c r="B38" s="238" t="s">
        <v>78</v>
      </c>
      <c r="C38" s="225" t="s">
        <v>79</v>
      </c>
      <c r="D38" s="241" t="s">
        <v>80</v>
      </c>
      <c r="E38" s="81" t="s">
        <v>34</v>
      </c>
      <c r="F38" s="89" t="s">
        <v>81</v>
      </c>
      <c r="G38" s="120" t="s">
        <v>36</v>
      </c>
      <c r="H38" s="117" t="s">
        <v>207</v>
      </c>
      <c r="I38" s="111" t="str">
        <f t="shared" si="2"/>
        <v>Deficiencia de control</v>
      </c>
      <c r="J38" s="105">
        <f>+IF(G38="Si",60,IF(G38="En proceso",50,40))</f>
        <v>40</v>
      </c>
      <c r="K38" s="105">
        <v>0.31</v>
      </c>
      <c r="L38" s="105">
        <f t="shared" si="3"/>
        <v>40.31</v>
      </c>
    </row>
    <row r="39" spans="1:32" s="49" customFormat="1" ht="82.5" x14ac:dyDescent="0.25">
      <c r="A39" s="103" t="str">
        <f t="shared" ref="A39:A42" si="9">5&amp;E39</f>
        <v>5b</v>
      </c>
      <c r="B39" s="239"/>
      <c r="C39" s="226"/>
      <c r="D39" s="242"/>
      <c r="E39" s="83" t="s">
        <v>37</v>
      </c>
      <c r="F39" s="85" t="s">
        <v>82</v>
      </c>
      <c r="G39" s="116" t="s">
        <v>36</v>
      </c>
      <c r="H39" s="117" t="s">
        <v>207</v>
      </c>
      <c r="I39" s="108" t="str">
        <f t="shared" si="2"/>
        <v>Deficiencia de control</v>
      </c>
      <c r="J39" s="105">
        <f>+IF(G39="Si",60,IF(G39="En proceso",50,40))</f>
        <v>40</v>
      </c>
      <c r="K39" s="105">
        <v>0.32300000000000001</v>
      </c>
      <c r="L39" s="105">
        <f t="shared" si="3"/>
        <v>40.323</v>
      </c>
    </row>
    <row r="40" spans="1:32" s="49" customFormat="1" ht="82.5" x14ac:dyDescent="0.25">
      <c r="A40" s="103" t="str">
        <f t="shared" si="9"/>
        <v>5c</v>
      </c>
      <c r="B40" s="239"/>
      <c r="C40" s="226"/>
      <c r="D40" s="242"/>
      <c r="E40" s="83" t="s">
        <v>40</v>
      </c>
      <c r="F40" s="85" t="s">
        <v>83</v>
      </c>
      <c r="G40" s="116" t="s">
        <v>36</v>
      </c>
      <c r="H40" s="117" t="s">
        <v>207</v>
      </c>
      <c r="I40" s="108" t="str">
        <f t="shared" si="2"/>
        <v>Deficiencia de control</v>
      </c>
      <c r="J40" s="105">
        <f>+IF(G40="Si",60,IF(G40="En proceso",50,40))</f>
        <v>40</v>
      </c>
      <c r="K40" s="105">
        <v>0.32400000000000001</v>
      </c>
      <c r="L40" s="105">
        <f t="shared" si="3"/>
        <v>40.323999999999998</v>
      </c>
    </row>
    <row r="41" spans="1:32" s="49" customFormat="1" ht="115.5" x14ac:dyDescent="0.25">
      <c r="A41" s="103" t="str">
        <f t="shared" si="9"/>
        <v>5d</v>
      </c>
      <c r="B41" s="239"/>
      <c r="C41" s="226"/>
      <c r="D41" s="242"/>
      <c r="E41" s="83" t="s">
        <v>42</v>
      </c>
      <c r="F41" s="85" t="s">
        <v>84</v>
      </c>
      <c r="G41" s="116" t="s">
        <v>36</v>
      </c>
      <c r="H41" s="117" t="s">
        <v>208</v>
      </c>
      <c r="I41" s="108" t="str">
        <f t="shared" si="2"/>
        <v>Deficiencia de control</v>
      </c>
      <c r="J41" s="105">
        <f>+IF(G41="Si",60,IF(G41="En proceso",50,40))</f>
        <v>40</v>
      </c>
      <c r="K41" s="105">
        <v>0.32500000000000001</v>
      </c>
      <c r="L41" s="105">
        <f t="shared" si="3"/>
        <v>40.325000000000003</v>
      </c>
    </row>
    <row r="42" spans="1:32" s="49" customFormat="1" ht="48" thickBot="1" x14ac:dyDescent="0.3">
      <c r="A42" s="103" t="str">
        <f t="shared" si="9"/>
        <v>5e</v>
      </c>
      <c r="B42" s="240"/>
      <c r="C42" s="227"/>
      <c r="D42" s="243"/>
      <c r="E42" s="86" t="s">
        <v>44</v>
      </c>
      <c r="F42" s="87" t="s">
        <v>85</v>
      </c>
      <c r="G42" s="118" t="s">
        <v>39</v>
      </c>
      <c r="H42" s="119" t="s">
        <v>209</v>
      </c>
      <c r="I42" s="109" t="str">
        <f t="shared" si="2"/>
        <v>Mantenimiento del control</v>
      </c>
      <c r="J42" s="105">
        <f>+IF(G42="Si",60,IF(G42="En proceso",50,40))</f>
        <v>60</v>
      </c>
      <c r="K42" s="105">
        <v>0.32600000000000001</v>
      </c>
      <c r="L42" s="105">
        <f t="shared" si="3"/>
        <v>60.326000000000001</v>
      </c>
    </row>
    <row r="43" spans="1:32" s="49" customFormat="1" ht="40.5" customHeight="1" x14ac:dyDescent="0.25">
      <c r="A43" s="103" t="str">
        <f>6&amp;E43</f>
        <v>6a</v>
      </c>
      <c r="B43" s="248" t="s">
        <v>86</v>
      </c>
      <c r="C43" s="228" t="s">
        <v>87</v>
      </c>
      <c r="D43" s="245" t="s">
        <v>88</v>
      </c>
      <c r="E43" s="81" t="s">
        <v>34</v>
      </c>
      <c r="F43" s="82" t="s">
        <v>89</v>
      </c>
      <c r="G43" s="112" t="s">
        <v>39</v>
      </c>
      <c r="H43" s="113" t="s">
        <v>210</v>
      </c>
      <c r="I43" s="104" t="str">
        <f t="shared" si="2"/>
        <v>Mantenimiento del control</v>
      </c>
      <c r="J43" s="105">
        <f t="shared" ref="J43:J49" si="10">+IF(G43="Si",80,IF(G43="En proceso",70,60))</f>
        <v>80</v>
      </c>
      <c r="K43" s="105">
        <v>0.41199999999999998</v>
      </c>
      <c r="L43" s="105">
        <f t="shared" si="3"/>
        <v>80.412000000000006</v>
      </c>
    </row>
    <row r="44" spans="1:32" s="49" customFormat="1" ht="64.5" customHeight="1" x14ac:dyDescent="0.25">
      <c r="A44" s="103" t="str">
        <f t="shared" ref="A44:A49" si="11">6&amp;E44</f>
        <v>6b</v>
      </c>
      <c r="B44" s="249"/>
      <c r="C44" s="229"/>
      <c r="D44" s="246"/>
      <c r="E44" s="83" t="s">
        <v>37</v>
      </c>
      <c r="F44" s="85" t="s">
        <v>90</v>
      </c>
      <c r="G44" s="116" t="s">
        <v>39</v>
      </c>
      <c r="H44" s="117" t="s">
        <v>211</v>
      </c>
      <c r="I44" s="108" t="str">
        <f t="shared" si="2"/>
        <v>Mantenimiento del control</v>
      </c>
      <c r="J44" s="105">
        <f t="shared" si="10"/>
        <v>80</v>
      </c>
      <c r="K44" s="105">
        <v>0.4123</v>
      </c>
      <c r="L44" s="105">
        <f t="shared" si="3"/>
        <v>80.412300000000002</v>
      </c>
    </row>
    <row r="45" spans="1:32" s="49" customFormat="1" ht="66" x14ac:dyDescent="0.25">
      <c r="A45" s="103" t="str">
        <f t="shared" si="11"/>
        <v>6c</v>
      </c>
      <c r="B45" s="249"/>
      <c r="C45" s="229"/>
      <c r="D45" s="246"/>
      <c r="E45" s="83" t="s">
        <v>40</v>
      </c>
      <c r="F45" s="85" t="s">
        <v>91</v>
      </c>
      <c r="G45" s="116" t="s">
        <v>39</v>
      </c>
      <c r="H45" s="117" t="s">
        <v>212</v>
      </c>
      <c r="I45" s="108" t="str">
        <f t="shared" si="2"/>
        <v>Mantenimiento del control</v>
      </c>
      <c r="J45" s="105">
        <f t="shared" si="10"/>
        <v>80</v>
      </c>
      <c r="K45" s="105">
        <v>0.41233999999999998</v>
      </c>
      <c r="L45" s="105">
        <f t="shared" si="3"/>
        <v>80.41234</v>
      </c>
    </row>
    <row r="46" spans="1:32" s="49" customFormat="1" ht="99" x14ac:dyDescent="0.25">
      <c r="A46" s="103" t="str">
        <f t="shared" si="11"/>
        <v>6d</v>
      </c>
      <c r="B46" s="249"/>
      <c r="C46" s="229"/>
      <c r="D46" s="246"/>
      <c r="E46" s="83" t="s">
        <v>42</v>
      </c>
      <c r="F46" s="85" t="s">
        <v>92</v>
      </c>
      <c r="G46" s="116" t="s">
        <v>36</v>
      </c>
      <c r="H46" s="117" t="s">
        <v>213</v>
      </c>
      <c r="I46" s="108" t="str">
        <f t="shared" si="2"/>
        <v>Deficiencia de control</v>
      </c>
      <c r="J46" s="105">
        <f t="shared" si="10"/>
        <v>60</v>
      </c>
      <c r="K46" s="105">
        <v>0.41234500000000002</v>
      </c>
      <c r="L46" s="105">
        <f t="shared" si="3"/>
        <v>60.412345000000002</v>
      </c>
    </row>
    <row r="47" spans="1:32" s="49" customFormat="1" ht="63" x14ac:dyDescent="0.25">
      <c r="A47" s="103" t="str">
        <f t="shared" si="11"/>
        <v>6e</v>
      </c>
      <c r="B47" s="249"/>
      <c r="C47" s="229"/>
      <c r="D47" s="246"/>
      <c r="E47" s="83" t="s">
        <v>44</v>
      </c>
      <c r="F47" s="85" t="s">
        <v>93</v>
      </c>
      <c r="G47" s="116" t="s">
        <v>36</v>
      </c>
      <c r="H47" s="117" t="s">
        <v>214</v>
      </c>
      <c r="I47" s="108" t="str">
        <f t="shared" si="2"/>
        <v>Deficiencia de control</v>
      </c>
      <c r="J47" s="105">
        <f t="shared" si="10"/>
        <v>60</v>
      </c>
      <c r="K47" s="105">
        <v>0.41234559999999998</v>
      </c>
      <c r="L47" s="105">
        <f t="shared" si="3"/>
        <v>60.412345600000002</v>
      </c>
    </row>
    <row r="48" spans="1:32" s="49" customFormat="1" ht="66" x14ac:dyDescent="0.25">
      <c r="A48" s="103" t="str">
        <f t="shared" si="11"/>
        <v>6f</v>
      </c>
      <c r="B48" s="249"/>
      <c r="C48" s="229"/>
      <c r="D48" s="246"/>
      <c r="E48" s="83" t="s">
        <v>46</v>
      </c>
      <c r="F48" s="85" t="s">
        <v>94</v>
      </c>
      <c r="G48" s="116" t="s">
        <v>39</v>
      </c>
      <c r="H48" s="117" t="s">
        <v>215</v>
      </c>
      <c r="I48" s="108" t="str">
        <f t="shared" si="2"/>
        <v>Mantenimiento del control</v>
      </c>
      <c r="J48" s="105">
        <f t="shared" si="10"/>
        <v>80</v>
      </c>
      <c r="K48" s="105">
        <v>0.41234567</v>
      </c>
      <c r="L48" s="105">
        <f t="shared" si="3"/>
        <v>80.412345669999993</v>
      </c>
    </row>
    <row r="49" spans="1:17" s="49" customFormat="1" ht="66.75" thickBot="1" x14ac:dyDescent="0.3">
      <c r="A49" s="103" t="str">
        <f t="shared" si="11"/>
        <v>6g</v>
      </c>
      <c r="B49" s="250"/>
      <c r="C49" s="230"/>
      <c r="D49" s="247"/>
      <c r="E49" s="86" t="s">
        <v>48</v>
      </c>
      <c r="F49" s="87" t="s">
        <v>95</v>
      </c>
      <c r="G49" s="118" t="s">
        <v>39</v>
      </c>
      <c r="H49" s="119" t="s">
        <v>216</v>
      </c>
      <c r="I49" s="109" t="str">
        <f t="shared" si="2"/>
        <v>Mantenimiento del control</v>
      </c>
      <c r="J49" s="105">
        <f t="shared" si="10"/>
        <v>80</v>
      </c>
      <c r="K49" s="105">
        <v>0.41234567799999999</v>
      </c>
      <c r="L49" s="105">
        <f t="shared" si="3"/>
        <v>80.412345677999994</v>
      </c>
    </row>
    <row r="50" spans="1:17" s="49" customFormat="1" ht="54.75" customHeight="1" x14ac:dyDescent="0.25">
      <c r="A50" s="103" t="str">
        <f>7&amp;E50</f>
        <v>7a</v>
      </c>
      <c r="B50" s="216" t="s">
        <v>96</v>
      </c>
      <c r="C50" s="231" t="s">
        <v>97</v>
      </c>
      <c r="D50" s="213" t="s">
        <v>98</v>
      </c>
      <c r="E50" s="81" t="s">
        <v>34</v>
      </c>
      <c r="F50" s="82" t="s">
        <v>99</v>
      </c>
      <c r="G50" s="112" t="s">
        <v>36</v>
      </c>
      <c r="H50" s="113" t="s">
        <v>217</v>
      </c>
      <c r="I50" s="104" t="str">
        <f t="shared" si="2"/>
        <v>Deficiencia de control</v>
      </c>
      <c r="J50" s="105">
        <f>+IF(G50="Si",120,IF(G50="En proceso",100,80))</f>
        <v>80</v>
      </c>
      <c r="K50" s="105">
        <v>0.85099999999999998</v>
      </c>
      <c r="L50" s="105">
        <f t="shared" si="3"/>
        <v>80.850999999999999</v>
      </c>
    </row>
    <row r="51" spans="1:17" s="49" customFormat="1" ht="94.5" x14ac:dyDescent="0.25">
      <c r="A51" s="103" t="str">
        <f t="shared" ref="A51:A53" si="12">7&amp;E51</f>
        <v>7d</v>
      </c>
      <c r="B51" s="217"/>
      <c r="C51" s="232"/>
      <c r="D51" s="214"/>
      <c r="E51" s="83" t="s">
        <v>42</v>
      </c>
      <c r="F51" s="85" t="s">
        <v>100</v>
      </c>
      <c r="G51" s="116" t="s">
        <v>39</v>
      </c>
      <c r="H51" s="117" t="s">
        <v>218</v>
      </c>
      <c r="I51" s="108" t="str">
        <f t="shared" si="2"/>
        <v>Mantenimiento del control</v>
      </c>
      <c r="J51" s="105">
        <f t="shared" ref="J51:J59" si="13">+IF(G51="Si",120,IF(G51="En proceso",100,80))</f>
        <v>120</v>
      </c>
      <c r="K51" s="105">
        <v>0.85119999999999996</v>
      </c>
      <c r="L51" s="105">
        <f t="shared" si="3"/>
        <v>120.85120000000001</v>
      </c>
    </row>
    <row r="52" spans="1:17" s="49" customFormat="1" ht="49.5" x14ac:dyDescent="0.25">
      <c r="A52" s="103" t="str">
        <f t="shared" si="12"/>
        <v>7f</v>
      </c>
      <c r="B52" s="217"/>
      <c r="C52" s="232"/>
      <c r="D52" s="214"/>
      <c r="E52" s="83" t="s">
        <v>46</v>
      </c>
      <c r="F52" s="85" t="s">
        <v>101</v>
      </c>
      <c r="G52" s="116" t="s">
        <v>36</v>
      </c>
      <c r="H52" s="117" t="s">
        <v>219</v>
      </c>
      <c r="I52" s="108" t="str">
        <f t="shared" si="2"/>
        <v>Deficiencia de control</v>
      </c>
      <c r="J52" s="105">
        <f t="shared" si="13"/>
        <v>80</v>
      </c>
      <c r="K52" s="105">
        <v>0.85123000000000004</v>
      </c>
      <c r="L52" s="105">
        <f t="shared" si="3"/>
        <v>80.851230000000001</v>
      </c>
    </row>
    <row r="53" spans="1:17" s="49" customFormat="1" ht="50.25" thickBot="1" x14ac:dyDescent="0.3">
      <c r="A53" s="103" t="str">
        <f t="shared" si="12"/>
        <v>7g</v>
      </c>
      <c r="B53" s="218"/>
      <c r="C53" s="233"/>
      <c r="D53" s="251"/>
      <c r="E53" s="86" t="s">
        <v>48</v>
      </c>
      <c r="F53" s="87" t="s">
        <v>102</v>
      </c>
      <c r="G53" s="118" t="s">
        <v>76</v>
      </c>
      <c r="H53" s="119" t="s">
        <v>191</v>
      </c>
      <c r="I53" s="109" t="str">
        <f t="shared" si="2"/>
        <v>Oportunidad de mejora</v>
      </c>
      <c r="J53" s="105">
        <f t="shared" si="13"/>
        <v>100</v>
      </c>
      <c r="K53" s="105">
        <v>0.85123400000000005</v>
      </c>
      <c r="L53" s="105">
        <f t="shared" si="3"/>
        <v>100.85123400000001</v>
      </c>
    </row>
    <row r="54" spans="1:17" s="49" customFormat="1" ht="102.75" customHeight="1" thickBot="1" x14ac:dyDescent="0.3">
      <c r="A54" s="103" t="str">
        <f>8&amp;E54</f>
        <v>8h</v>
      </c>
      <c r="B54" s="161" t="s">
        <v>103</v>
      </c>
      <c r="C54" s="162" t="s">
        <v>97</v>
      </c>
      <c r="D54" s="76" t="s">
        <v>104</v>
      </c>
      <c r="E54" s="81" t="s">
        <v>50</v>
      </c>
      <c r="F54" s="82" t="s">
        <v>105</v>
      </c>
      <c r="G54" s="112" t="s">
        <v>36</v>
      </c>
      <c r="H54" s="113" t="s">
        <v>220</v>
      </c>
      <c r="I54" s="104" t="str">
        <f t="shared" si="2"/>
        <v>Deficiencia de control</v>
      </c>
      <c r="J54" s="105">
        <f t="shared" si="13"/>
        <v>80</v>
      </c>
      <c r="K54" s="105">
        <v>0.85123450000000001</v>
      </c>
      <c r="L54" s="105">
        <f t="shared" si="3"/>
        <v>80.851234500000004</v>
      </c>
    </row>
    <row r="55" spans="1:17" s="49" customFormat="1" ht="54.75" customHeight="1" x14ac:dyDescent="0.25">
      <c r="A55" s="103" t="str">
        <f>9&amp;E55</f>
        <v>9a</v>
      </c>
      <c r="B55" s="216" t="s">
        <v>106</v>
      </c>
      <c r="C55" s="231" t="s">
        <v>97</v>
      </c>
      <c r="D55" s="213" t="s">
        <v>107</v>
      </c>
      <c r="E55" s="81" t="s">
        <v>34</v>
      </c>
      <c r="F55" s="82" t="s">
        <v>108</v>
      </c>
      <c r="G55" s="112" t="s">
        <v>76</v>
      </c>
      <c r="H55" s="113" t="s">
        <v>221</v>
      </c>
      <c r="I55" s="104" t="str">
        <f t="shared" si="2"/>
        <v>Oportunidad de mejora</v>
      </c>
      <c r="J55" s="105">
        <f t="shared" si="13"/>
        <v>100</v>
      </c>
      <c r="K55" s="110">
        <v>0.85123455999999997</v>
      </c>
      <c r="L55" s="105">
        <f t="shared" si="3"/>
        <v>100.85123455999999</v>
      </c>
      <c r="M55" s="48"/>
      <c r="N55" s="48"/>
      <c r="O55" s="48"/>
      <c r="P55" s="48"/>
      <c r="Q55" s="48"/>
    </row>
    <row r="56" spans="1:17" s="49" customFormat="1" ht="55.5" customHeight="1" thickBot="1" x14ac:dyDescent="0.3">
      <c r="A56" s="103" t="str">
        <f t="shared" ref="A56:A59" si="14">9&amp;E56</f>
        <v>9b</v>
      </c>
      <c r="B56" s="217"/>
      <c r="C56" s="232"/>
      <c r="D56" s="214"/>
      <c r="E56" s="83" t="s">
        <v>37</v>
      </c>
      <c r="F56" s="85" t="s">
        <v>109</v>
      </c>
      <c r="G56" s="116" t="s">
        <v>76</v>
      </c>
      <c r="H56" s="117" t="s">
        <v>222</v>
      </c>
      <c r="I56" s="108" t="str">
        <f t="shared" si="2"/>
        <v>Oportunidad de mejora</v>
      </c>
      <c r="J56" s="105">
        <f t="shared" si="13"/>
        <v>100</v>
      </c>
      <c r="K56" s="110">
        <v>0.851234567</v>
      </c>
      <c r="L56" s="105">
        <f t="shared" si="3"/>
        <v>100.85123456700001</v>
      </c>
      <c r="M56" s="48"/>
      <c r="N56" s="48"/>
      <c r="O56" s="48"/>
      <c r="P56" s="48"/>
      <c r="Q56" s="48"/>
    </row>
    <row r="57" spans="1:17" s="49" customFormat="1" ht="77.25" customHeight="1" x14ac:dyDescent="0.25">
      <c r="A57" s="103" t="str">
        <f t="shared" si="14"/>
        <v>9c</v>
      </c>
      <c r="B57" s="217"/>
      <c r="C57" s="232"/>
      <c r="D57" s="214"/>
      <c r="E57" s="83" t="s">
        <v>40</v>
      </c>
      <c r="F57" s="85" t="s">
        <v>110</v>
      </c>
      <c r="G57" s="116" t="s">
        <v>76</v>
      </c>
      <c r="H57" s="113" t="s">
        <v>221</v>
      </c>
      <c r="I57" s="108" t="str">
        <f t="shared" si="2"/>
        <v>Oportunidad de mejora</v>
      </c>
      <c r="J57" s="105">
        <f t="shared" si="13"/>
        <v>100</v>
      </c>
      <c r="K57" s="110">
        <v>0.85123456779999995</v>
      </c>
      <c r="L57" s="105">
        <f t="shared" si="3"/>
        <v>100.85123456780001</v>
      </c>
      <c r="M57" s="48"/>
      <c r="N57" s="48"/>
      <c r="O57" s="48"/>
      <c r="P57" s="48"/>
      <c r="Q57" s="48"/>
    </row>
    <row r="58" spans="1:17" s="49" customFormat="1" ht="77.25" customHeight="1" x14ac:dyDescent="0.25">
      <c r="A58" s="103" t="str">
        <f t="shared" si="14"/>
        <v>9d</v>
      </c>
      <c r="B58" s="217"/>
      <c r="C58" s="232"/>
      <c r="D58" s="214"/>
      <c r="E58" s="83" t="s">
        <v>42</v>
      </c>
      <c r="F58" s="85" t="s">
        <v>111</v>
      </c>
      <c r="G58" s="116" t="s">
        <v>36</v>
      </c>
      <c r="H58" s="117" t="s">
        <v>223</v>
      </c>
      <c r="I58" s="108" t="str">
        <f t="shared" si="2"/>
        <v>Deficiencia de control</v>
      </c>
      <c r="J58" s="105">
        <f t="shared" si="13"/>
        <v>80</v>
      </c>
      <c r="K58" s="110">
        <v>0.85123456788999996</v>
      </c>
      <c r="L58" s="105">
        <f t="shared" si="3"/>
        <v>80.851234567890003</v>
      </c>
      <c r="M58" s="48"/>
      <c r="N58" s="48"/>
      <c r="O58" s="48"/>
      <c r="P58" s="48"/>
      <c r="Q58" s="48"/>
    </row>
    <row r="59" spans="1:17" s="49" customFormat="1" ht="88.5" customHeight="1" thickBot="1" x14ac:dyDescent="0.3">
      <c r="A59" s="103" t="str">
        <f t="shared" si="14"/>
        <v>9e</v>
      </c>
      <c r="B59" s="218"/>
      <c r="C59" s="232"/>
      <c r="D59" s="215"/>
      <c r="E59" s="86" t="s">
        <v>44</v>
      </c>
      <c r="F59" s="87" t="s">
        <v>112</v>
      </c>
      <c r="G59" s="118" t="s">
        <v>36</v>
      </c>
      <c r="H59" s="117" t="s">
        <v>224</v>
      </c>
      <c r="I59" s="109" t="str">
        <f t="shared" si="2"/>
        <v>Deficiencia de control</v>
      </c>
      <c r="J59" s="105">
        <f t="shared" si="13"/>
        <v>80</v>
      </c>
      <c r="K59" s="110">
        <v>0.85123456789100005</v>
      </c>
      <c r="L59" s="105">
        <f t="shared" si="3"/>
        <v>80.851234567890998</v>
      </c>
      <c r="M59" s="48"/>
      <c r="N59" s="48"/>
      <c r="O59" s="48"/>
      <c r="P59" s="48"/>
      <c r="Q59" s="48"/>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B14:I14"/>
    <mergeCell ref="D43:D49"/>
    <mergeCell ref="B43:B49"/>
    <mergeCell ref="D50:D53"/>
    <mergeCell ref="B50:B53"/>
    <mergeCell ref="D16:D27"/>
    <mergeCell ref="B16:B27"/>
    <mergeCell ref="B28:B31"/>
    <mergeCell ref="D28:D31"/>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s>
  <dataValidations count="2">
    <dataValidation type="list" allowBlank="1" showInputMessage="1" showErrorMessage="1" sqref="G55:G59 G16:G53" xr:uid="{00000000-0002-0000-0100-000000000000}">
      <formula1>"Si, No, En proceso"</formula1>
    </dataValidation>
    <dataValidation type="list" allowBlank="1" showInputMessage="1" showErrorMessage="1" sqref="G54" xr:uid="{00000000-0002-0000-0100-000001000000}">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4"/>
  <sheetViews>
    <sheetView zoomScale="80" zoomScaleNormal="80" workbookViewId="0">
      <selection activeCell="C17" sqref="C17:J62"/>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94" t="s">
        <v>113</v>
      </c>
      <c r="D7" s="295"/>
      <c r="E7" s="295"/>
      <c r="F7" s="295"/>
      <c r="G7" s="295"/>
      <c r="H7" s="295"/>
      <c r="I7" s="295"/>
      <c r="J7" s="295"/>
      <c r="K7" s="296"/>
    </row>
    <row r="8" spans="1:11" s="1" customFormat="1" ht="15.75" thickBot="1" x14ac:dyDescent="0.3">
      <c r="C8" s="39"/>
      <c r="D8" s="39"/>
      <c r="E8" s="40"/>
      <c r="F8" s="40"/>
      <c r="G8" s="40"/>
      <c r="H8" s="40"/>
      <c r="I8" s="50"/>
      <c r="J8" s="40"/>
      <c r="K8" s="40"/>
    </row>
    <row r="9" spans="1:11" ht="21" thickBot="1" x14ac:dyDescent="0.3">
      <c r="A9" s="1"/>
      <c r="B9" s="1"/>
      <c r="C9" s="196" t="s">
        <v>15</v>
      </c>
      <c r="D9" s="197"/>
      <c r="E9" s="197" t="s">
        <v>16</v>
      </c>
      <c r="F9" s="208"/>
      <c r="G9" s="40"/>
      <c r="H9" s="40"/>
      <c r="I9" s="50"/>
      <c r="J9" s="40"/>
      <c r="K9" s="40"/>
    </row>
    <row r="10" spans="1:11" ht="54" customHeight="1" x14ac:dyDescent="0.25">
      <c r="A10" s="1"/>
      <c r="B10" s="1"/>
      <c r="C10" s="209" t="s">
        <v>17</v>
      </c>
      <c r="D10" s="210"/>
      <c r="E10" s="211" t="s">
        <v>18</v>
      </c>
      <c r="F10" s="212"/>
      <c r="G10" s="41"/>
      <c r="H10" s="42">
        <v>1</v>
      </c>
      <c r="I10" s="50"/>
      <c r="J10" s="40"/>
      <c r="K10" s="40"/>
    </row>
    <row r="11" spans="1:11" ht="46.5" customHeight="1" x14ac:dyDescent="0.25">
      <c r="A11" s="1"/>
      <c r="B11" s="1"/>
      <c r="C11" s="198" t="s">
        <v>19</v>
      </c>
      <c r="D11" s="199"/>
      <c r="E11" s="200" t="s">
        <v>114</v>
      </c>
      <c r="F11" s="201"/>
      <c r="G11" s="43" t="s">
        <v>115</v>
      </c>
      <c r="H11" s="42">
        <v>0.75</v>
      </c>
      <c r="I11" s="50"/>
      <c r="J11" s="40"/>
      <c r="K11" s="40"/>
    </row>
    <row r="12" spans="1:11" ht="70.5" customHeight="1" thickBot="1" x14ac:dyDescent="0.3">
      <c r="A12" s="1"/>
      <c r="B12" s="1"/>
      <c r="C12" s="202" t="s">
        <v>21</v>
      </c>
      <c r="D12" s="203"/>
      <c r="E12" s="204" t="s">
        <v>116</v>
      </c>
      <c r="F12" s="205"/>
      <c r="G12" s="44"/>
      <c r="H12" s="42">
        <v>0.25</v>
      </c>
      <c r="I12" s="50"/>
      <c r="J12" s="40"/>
      <c r="K12" s="40"/>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86" t="s">
        <v>117</v>
      </c>
      <c r="D17" s="288" t="s">
        <v>118</v>
      </c>
      <c r="E17" s="289"/>
      <c r="F17" s="290" t="s">
        <v>119</v>
      </c>
      <c r="G17" s="292" t="s">
        <v>120</v>
      </c>
      <c r="H17" s="38"/>
      <c r="I17" s="281" t="s">
        <v>121</v>
      </c>
      <c r="J17" s="281" t="s">
        <v>122</v>
      </c>
    </row>
    <row r="18" spans="1:10" ht="36" customHeight="1" thickBot="1" x14ac:dyDescent="0.3">
      <c r="A18" s="1"/>
      <c r="B18" s="1"/>
      <c r="C18" s="287"/>
      <c r="D18" s="121" t="s">
        <v>123</v>
      </c>
      <c r="E18" s="122" t="s">
        <v>27</v>
      </c>
      <c r="F18" s="291"/>
      <c r="G18" s="293"/>
      <c r="H18" s="38"/>
      <c r="I18" s="282"/>
      <c r="J18" s="282"/>
    </row>
    <row r="19" spans="1:10" ht="65.25" customHeight="1" x14ac:dyDescent="0.25">
      <c r="A19" s="1"/>
      <c r="B19" s="1"/>
      <c r="C19" s="140">
        <v>1</v>
      </c>
      <c r="D19" s="283" t="s">
        <v>32</v>
      </c>
      <c r="E19" s="123" t="str">
        <f>+IFERROR(INDEX(Hoja1!$E$2:$E$45,MATCH('Análisis Resultados'!C19,Hoja1!$H$2:$H$45,0)),"")</f>
        <v>Documento interno o adopción del MECI actualizado</v>
      </c>
      <c r="F19" s="124" t="str">
        <f>+IFERROR(VLOOKUP(C19,Hoja1!$H$2:$I$45,2,0),"")</f>
        <v>No</v>
      </c>
      <c r="G19" s="125"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No se encuentra el aspecto  por lo tanto la entidad debera generar acciones dirigidas a que se cumpla con el requerimiento.</v>
      </c>
      <c r="H19" s="18"/>
      <c r="I19" s="141">
        <f>+IF(F19="Si",1,IF(F19="En proceso",0.5,0))</f>
        <v>0</v>
      </c>
      <c r="J19" s="265">
        <f>+AVERAGE(I19:I30)</f>
        <v>0.625</v>
      </c>
    </row>
    <row r="20" spans="1:10" ht="45" x14ac:dyDescent="0.25">
      <c r="A20" s="1"/>
      <c r="B20" s="1"/>
      <c r="C20" s="140">
        <v>2</v>
      </c>
      <c r="D20" s="284"/>
      <c r="E20" s="126" t="str">
        <f>+IFERROR(INDEX(Hoja1!$E$2:$E$45,MATCH('Análisis Resultados'!C20,Hoja1!$H$2:$H$45,0)),"")</f>
        <v>La documentación de sus procesos y procedimientos o bien una lista de actividades principales que permitan conocer el estado de su gestión</v>
      </c>
      <c r="F20" s="127" t="str">
        <f>+IFERROR(VLOOKUP(C20,Hoja1!$H$2:$I$45,2,0),"")</f>
        <v>No</v>
      </c>
      <c r="G20" s="128"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No se encuentra el aspecto  por lo tanto la entidad debera generar acciones dirigidas a que se cumpla con el requerimiento.</v>
      </c>
      <c r="H20" s="18"/>
      <c r="I20" s="142">
        <f t="shared" ref="I20:I62" si="1">+IF(F20="Si",1,IF(F20="En proceso",0.5,0))</f>
        <v>0</v>
      </c>
      <c r="J20" s="266"/>
    </row>
    <row r="21" spans="1:10" ht="45" x14ac:dyDescent="0.25">
      <c r="A21" s="1"/>
      <c r="B21" s="1"/>
      <c r="C21" s="140">
        <v>3</v>
      </c>
      <c r="D21" s="284"/>
      <c r="E21" s="126" t="str">
        <f>+IFERROR(INDEX(Hoja1!$E$2:$E$45,MATCH('Análisis Resultados'!C21,Hoja1!$H$2:$H$45,0)),"")</f>
        <v>Procesos de inducción, capacitación y bienestar social para sus servidores públicos, de manera directa o en asociación con otras entidades municipales</v>
      </c>
      <c r="F21" s="127" t="str">
        <f>+IFERROR(VLOOKUP(C21,Hoja1!$H$2:$I$45,2,0),"")</f>
        <v>No</v>
      </c>
      <c r="G21" s="128" t="str">
        <f t="shared" si="0"/>
        <v>No se encuentra el aspecto  por lo tanto la entidad debera generar acciones dirigidas a que se cumpla con el requerimiento.</v>
      </c>
      <c r="H21" s="18"/>
      <c r="I21" s="142">
        <f t="shared" si="1"/>
        <v>0</v>
      </c>
      <c r="J21" s="266"/>
    </row>
    <row r="22" spans="1:10" ht="56.25" customHeight="1" x14ac:dyDescent="0.25">
      <c r="A22" s="1"/>
      <c r="B22" s="1"/>
      <c r="C22" s="140">
        <v>4</v>
      </c>
      <c r="D22" s="284"/>
      <c r="E22" s="126" t="str">
        <f>+IFERROR(INDEX(Hoja1!$E$2:$E$45,MATCH('Análisis Resultados'!C22,Hoja1!$H$2:$H$45,0)),"")</f>
        <v>Procesos de desvinculación de servidores de acuerdo con lo previsto en la Constitución Política y las leyes</v>
      </c>
      <c r="F22" s="127" t="str">
        <f>+IFERROR(VLOOKUP(C22,Hoja1!$H$2:$I$45,2,0),"")</f>
        <v>No</v>
      </c>
      <c r="G22" s="128" t="str">
        <f t="shared" si="0"/>
        <v>No se encuentra el aspecto  por lo tanto la entidad debera generar acciones dirigidas a que se cumpla con el requerimiento.</v>
      </c>
      <c r="H22" s="18"/>
      <c r="I22" s="142">
        <f t="shared" si="1"/>
        <v>0</v>
      </c>
      <c r="J22" s="266"/>
    </row>
    <row r="23" spans="1:10" ht="57" x14ac:dyDescent="0.25">
      <c r="A23" s="1"/>
      <c r="B23" s="1"/>
      <c r="C23" s="140">
        <v>5</v>
      </c>
      <c r="D23" s="284"/>
      <c r="E23" s="126" t="str">
        <f>+IFERROR(INDEX(Hoja1!$E$2:$E$45,MATCH('Análisis Resultados'!C23,Hoja1!$H$2:$H$45,0)),"")</f>
        <v>Un documento tal como un código de ética, integridad u otro que formalice los estándares de conducta, los principios institucionales o los valores del servicio público</v>
      </c>
      <c r="F23" s="127" t="str">
        <f>+IFERROR(VLOOKUP(C23,Hoja1!$H$2:$I$45,2,0),"")</f>
        <v>En proceso</v>
      </c>
      <c r="G23" s="128" t="str">
        <f t="shared" si="0"/>
        <v>Se encuentra en proceso, pero requiere continuar con acciones dirigidas a contar con dicho aspecto de control.</v>
      </c>
      <c r="H23" s="18"/>
      <c r="I23" s="142">
        <f t="shared" si="1"/>
        <v>0.5</v>
      </c>
      <c r="J23" s="266"/>
    </row>
    <row r="24" spans="1:10" ht="45" x14ac:dyDescent="0.25">
      <c r="A24" s="1"/>
      <c r="B24" s="1"/>
      <c r="C24" s="140">
        <v>6</v>
      </c>
      <c r="D24" s="284"/>
      <c r="E24" s="126" t="str">
        <f>+IFERROR(INDEX(Hoja1!$E$2:$E$45,MATCH('Análisis Resultados'!C24,Hoja1!$H$2:$H$45,0)),"")</f>
        <v>Planes, programas y proyectos de acuerdo con las normas que rigen y atendiendo con su propósito fundamental institucional (misión)</v>
      </c>
      <c r="F24" s="127" t="str">
        <f>+IFERROR(VLOOKUP(C24,Hoja1!$H$2:$I$45,2,0),"")</f>
        <v>Si</v>
      </c>
      <c r="G24" s="128" t="str">
        <f t="shared" si="0"/>
        <v>Existe requerimiento pero se requiere actividades  dirigidas a su mantenimiento dentro del marco de las lineas de defensa.</v>
      </c>
      <c r="H24" s="18"/>
      <c r="I24" s="142">
        <f t="shared" si="1"/>
        <v>1</v>
      </c>
      <c r="J24" s="266"/>
    </row>
    <row r="25" spans="1:10" ht="45" x14ac:dyDescent="0.25">
      <c r="A25" s="1"/>
      <c r="B25" s="1"/>
      <c r="C25" s="140">
        <v>7</v>
      </c>
      <c r="D25" s="284"/>
      <c r="E25" s="126" t="str">
        <f>+IFERROR(INDEX(Hoja1!$E$2:$E$45,MATCH('Análisis Resultados'!C25,Hoja1!$H$2:$H$45,0)),"")</f>
        <v>Una estructura organizacional formalizada (organigrama)</v>
      </c>
      <c r="F25" s="127" t="str">
        <f>+IFERROR(VLOOKUP(C25,Hoja1!$H$2:$I$45,2,0),"")</f>
        <v>Si</v>
      </c>
      <c r="G25" s="128" t="str">
        <f t="shared" si="0"/>
        <v>Existe requerimiento pero se requiere actividades  dirigidas a su mantenimiento dentro del marco de las lineas de defensa.</v>
      </c>
      <c r="H25" s="18"/>
      <c r="I25" s="142">
        <f t="shared" si="1"/>
        <v>1</v>
      </c>
      <c r="J25" s="266"/>
    </row>
    <row r="26" spans="1:10" ht="45" x14ac:dyDescent="0.25">
      <c r="A26" s="1"/>
      <c r="B26" s="1"/>
      <c r="C26" s="140">
        <v>8</v>
      </c>
      <c r="D26" s="284"/>
      <c r="E26" s="126" t="str">
        <f>+IFERROR(INDEX(Hoja1!$E$2:$E$45,MATCH('Análisis Resultados'!C26,Hoja1!$H$2:$H$45,0)),"")</f>
        <v>Un manual de funciones que describa los empleos de la entidad</v>
      </c>
      <c r="F26" s="127" t="str">
        <f>+IFERROR(VLOOKUP(C26,Hoja1!$H$2:$I$45,2,0),"")</f>
        <v>Si</v>
      </c>
      <c r="G26" s="128" t="str">
        <f t="shared" si="0"/>
        <v>Existe requerimiento pero se requiere actividades  dirigidas a su mantenimiento dentro del marco de las lineas de defensa.</v>
      </c>
      <c r="H26" s="18"/>
      <c r="I26" s="142">
        <f t="shared" si="1"/>
        <v>1</v>
      </c>
      <c r="J26" s="266"/>
    </row>
    <row r="27" spans="1:10" ht="45" x14ac:dyDescent="0.25">
      <c r="A27" s="1"/>
      <c r="B27" s="1"/>
      <c r="C27" s="140">
        <v>9</v>
      </c>
      <c r="D27" s="284"/>
      <c r="E27" s="126" t="str">
        <f>+IFERROR(INDEX(Hoja1!$E$2:$E$45,MATCH('Análisis Resultados'!C27,Hoja1!$H$2:$H$45,0)),"")</f>
        <v>Vinculación de los servidores públicos de acuerdo con el marco normativo que les rige (carrera administrativa, libre nombramiento y remoción, entre otros)</v>
      </c>
      <c r="F27" s="127" t="str">
        <f>+IFERROR(VLOOKUP(C27,Hoja1!$H$2:$I$45,2,0),"")</f>
        <v>Si</v>
      </c>
      <c r="G27" s="128" t="str">
        <f t="shared" si="0"/>
        <v>Existe requerimiento pero se requiere actividades  dirigidas a su mantenimiento dentro del marco de las lineas de defensa.</v>
      </c>
      <c r="H27" s="18"/>
      <c r="I27" s="142">
        <f t="shared" si="1"/>
        <v>1</v>
      </c>
      <c r="J27" s="266"/>
    </row>
    <row r="28" spans="1:10" ht="45" x14ac:dyDescent="0.25">
      <c r="A28" s="1"/>
      <c r="B28" s="1"/>
      <c r="C28" s="140">
        <v>10</v>
      </c>
      <c r="D28" s="284"/>
      <c r="E28" s="126" t="str">
        <f>+IFERROR(INDEX(Hoja1!$E$2:$E$45,MATCH('Análisis Resultados'!C28,Hoja1!$H$2:$H$45,0)),"")</f>
        <v>Evaluación a los servidores públicos de acuerdo con el marco normativo que le rige</v>
      </c>
      <c r="F28" s="127" t="str">
        <f>+IFERROR(VLOOKUP(C28,Hoja1!$H$2:$I$45,2,0),"")</f>
        <v>Si</v>
      </c>
      <c r="G28" s="128" t="str">
        <f t="shared" si="0"/>
        <v>Existe requerimiento pero se requiere actividades  dirigidas a su mantenimiento dentro del marco de las lineas de defensa.</v>
      </c>
      <c r="H28" s="18"/>
      <c r="I28" s="142">
        <f t="shared" si="1"/>
        <v>1</v>
      </c>
      <c r="J28" s="266"/>
    </row>
    <row r="29" spans="1:10" ht="45" x14ac:dyDescent="0.25">
      <c r="A29" s="1"/>
      <c r="B29" s="1"/>
      <c r="C29" s="140">
        <v>11</v>
      </c>
      <c r="D29" s="284"/>
      <c r="E29" s="126" t="str">
        <f>+IFERROR(INDEX(Hoja1!$E$2:$E$45,MATCH('Análisis Resultados'!C29,Hoja1!$H$2:$H$45,0)),"")</f>
        <v>Mecanismos de rendición de cuentas a la ciudadanía</v>
      </c>
      <c r="F29" s="127" t="str">
        <f>+IFERROR(VLOOKUP(C29,Hoja1!$H$2:$I$45,2,0),"")</f>
        <v>Si</v>
      </c>
      <c r="G29" s="128"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H29" s="18"/>
      <c r="I29" s="142">
        <f t="shared" si="1"/>
        <v>1</v>
      </c>
      <c r="J29" s="266"/>
    </row>
    <row r="30" spans="1:10" ht="45.75" thickBot="1" x14ac:dyDescent="0.3">
      <c r="A30" s="1"/>
      <c r="B30" s="1"/>
      <c r="C30" s="140">
        <v>12</v>
      </c>
      <c r="D30" s="285"/>
      <c r="E30" s="129" t="str">
        <f>+IFERROR(INDEX(Hoja1!$E$2:$E$45,MATCH('Análisis Resultados'!C30,Hoja1!$H$2:$H$45,0)),"")</f>
        <v>Presentación oportuna de sus informes de gestión a las autoridades competentes</v>
      </c>
      <c r="F30" s="130" t="str">
        <f>+IFERROR(VLOOKUP(C30,Hoja1!$H$2:$I$45,2,0),"")</f>
        <v>Si</v>
      </c>
      <c r="G30" s="131" t="str">
        <f t="shared" si="0"/>
        <v>Existe requerimiento pero se requiere actividades  dirigidas a su mantenimiento dentro del marco de las lineas de defensa.</v>
      </c>
      <c r="H30" s="18"/>
      <c r="I30" s="143">
        <f t="shared" si="1"/>
        <v>1</v>
      </c>
      <c r="J30" s="267"/>
    </row>
    <row r="31" spans="1:10" ht="45" customHeight="1" x14ac:dyDescent="0.25">
      <c r="A31" s="1"/>
      <c r="B31" s="1"/>
      <c r="C31" s="140">
        <v>13</v>
      </c>
      <c r="D31" s="279" t="s">
        <v>61</v>
      </c>
      <c r="E31" s="123" t="str">
        <f>+IFERROR(INDEX(Hoja1!$E$2:$E$45,MATCH('Análisis Resultados'!C31,Hoja1!$H$2:$H$45,0)),"")</f>
        <v>La identificación  de los riesgos relacionados con posibles actos de corrupción en el ejercicio de sus funciones</v>
      </c>
      <c r="F31" s="124" t="str">
        <f>+IFERROR(VLOOKUP(C31,Hoja1!$H$2:$I$45,2,0),"")</f>
        <v>No</v>
      </c>
      <c r="G31" s="125" t="str">
        <f t="shared" si="0"/>
        <v>No se encuentra el aspecto  por lo tanto la entidad debera generar acciones dirigidas a que se cumpla con el requerimiento.</v>
      </c>
      <c r="H31" s="18"/>
      <c r="I31" s="141">
        <f t="shared" si="1"/>
        <v>0</v>
      </c>
      <c r="J31" s="263">
        <f>+AVERAGE(I31:I40)</f>
        <v>0.3</v>
      </c>
    </row>
    <row r="32" spans="1:10" ht="57" customHeight="1" x14ac:dyDescent="0.25">
      <c r="A32" s="1"/>
      <c r="B32" s="1"/>
      <c r="C32" s="140">
        <v>14</v>
      </c>
      <c r="D32" s="280"/>
      <c r="E32" s="126" t="str">
        <f>+IFERROR(INDEX(Hoja1!$E$2:$E$45,MATCH('Análisis Resultados'!C32,Hoja1!$H$2:$H$45,0)),"")</f>
        <v>Si su capacidad e infraestructura lo permite, identificación de riesgos asociados a las tecnologías de la información y las comunicaciones</v>
      </c>
      <c r="F32" s="127" t="str">
        <f>+IFERROR(VLOOKUP(C32,Hoja1!$H$2:$I$45,2,0),"")</f>
        <v>No</v>
      </c>
      <c r="G32" s="128" t="str">
        <f t="shared" si="0"/>
        <v>No se encuentra el aspecto  por lo tanto la entidad debera generar acciones dirigidas a que se cumpla con el requerimiento.</v>
      </c>
      <c r="H32" s="18"/>
      <c r="I32" s="142">
        <f t="shared" si="1"/>
        <v>0</v>
      </c>
      <c r="J32" s="264"/>
    </row>
    <row r="33" spans="1:10" ht="54" customHeight="1" x14ac:dyDescent="0.25">
      <c r="A33" s="1"/>
      <c r="B33" s="1"/>
      <c r="C33" s="140">
        <v>15</v>
      </c>
      <c r="D33" s="280"/>
      <c r="E33" s="126" t="str">
        <f>+IFERROR(INDEX(Hoja1!$E$2:$E$45,MATCH('Análisis Resultados'!C33,Hoja1!$H$2:$H$45,0)),"")</f>
        <v>Hacen seguimiento a los problemas (riesgos)  que pueden afectar el cumplimiento de sus procesos, programas o proyectos a cargo</v>
      </c>
      <c r="F33" s="127" t="str">
        <f>+IFERROR(VLOOKUP(C33,Hoja1!$H$2:$I$45,2,0),"")</f>
        <v>No</v>
      </c>
      <c r="G33" s="128" t="str">
        <f t="shared" si="0"/>
        <v>No se encuentra el aspecto  por lo tanto la entidad debera generar acciones dirigidas a que se cumpla con el requerimiento.</v>
      </c>
      <c r="H33" s="18"/>
      <c r="I33" s="142">
        <f t="shared" si="1"/>
        <v>0</v>
      </c>
      <c r="J33" s="264"/>
    </row>
    <row r="34" spans="1:10" ht="45" x14ac:dyDescent="0.25">
      <c r="A34" s="1"/>
      <c r="B34" s="1"/>
      <c r="C34" s="140">
        <v>16</v>
      </c>
      <c r="D34" s="280"/>
      <c r="E34" s="126" t="str">
        <f>+IFERROR(INDEX(Hoja1!$E$2:$E$45,MATCH('Análisis Resultados'!C34,Hoja1!$H$2:$H$45,0)),"")</f>
        <v>Informan de manera periódica a quien corresponda sobre el desempeño de las actividades de gestión de riesgos</v>
      </c>
      <c r="F34" s="127" t="str">
        <f>+IFERROR(VLOOKUP(C34,Hoja1!$H$2:$I$45,2,0),"")</f>
        <v>No</v>
      </c>
      <c r="G34" s="128" t="str">
        <f t="shared" si="0"/>
        <v>No se encuentra el aspecto  por lo tanto la entidad debera generar acciones dirigidas a que se cumpla con el requerimiento.</v>
      </c>
      <c r="H34" s="18"/>
      <c r="I34" s="142">
        <f t="shared" si="1"/>
        <v>0</v>
      </c>
      <c r="J34" s="264"/>
    </row>
    <row r="35" spans="1:10" ht="67.5" customHeight="1" x14ac:dyDescent="0.25">
      <c r="A35" s="1"/>
      <c r="B35" s="1"/>
      <c r="C35" s="140">
        <v>17</v>
      </c>
      <c r="D35" s="280"/>
      <c r="E35" s="126" t="str">
        <f>+IFERROR(INDEX(Hoja1!$E$2:$E$45,MATCH('Análisis Resultados'!C35,Hoja1!$H$2:$H$45,0)),"")</f>
        <v>Identifican deficiencias en las maneras de  controlar los riesgos o problemas en sus procesos, programas o proyectos, y propone los ajustes necesarios</v>
      </c>
      <c r="F35" s="127" t="str">
        <f>+IFERROR(VLOOKUP(C35,Hoja1!$H$2:$I$45,2,0),"")</f>
        <v>No</v>
      </c>
      <c r="G35" s="128" t="str">
        <f t="shared" si="0"/>
        <v>No se encuentra el aspecto  por lo tanto la entidad debera generar acciones dirigidas a que se cumpla con el requerimiento.</v>
      </c>
      <c r="H35" s="18"/>
      <c r="I35" s="142">
        <f t="shared" si="1"/>
        <v>0</v>
      </c>
      <c r="J35" s="264"/>
    </row>
    <row r="36" spans="1:10" ht="45" x14ac:dyDescent="0.25">
      <c r="A36" s="1"/>
      <c r="B36" s="1"/>
      <c r="C36" s="140">
        <v>18</v>
      </c>
      <c r="D36" s="280"/>
      <c r="E36" s="126" t="str">
        <f>+IFERROR(INDEX(Hoja1!$E$2:$E$45,MATCH('Análisis Resultados'!C36,Hoja1!$H$2:$H$45,0)),"")</f>
        <v>Se definen espacios de reunión para conocerlos y proponer acciones para su solución</v>
      </c>
      <c r="F36" s="127" t="str">
        <f>+IFERROR(VLOOKUP(C36,Hoja1!$H$2:$I$45,2,0),"")</f>
        <v>No</v>
      </c>
      <c r="G36" s="128" t="str">
        <f t="shared" si="0"/>
        <v>No se encuentra el aspecto  por lo tanto la entidad debera generar acciones dirigidas a que se cumpla con el requerimiento.</v>
      </c>
      <c r="H36" s="18"/>
      <c r="I36" s="142">
        <f t="shared" si="1"/>
        <v>0</v>
      </c>
      <c r="J36" s="264"/>
    </row>
    <row r="37" spans="1:10" ht="57" customHeight="1" x14ac:dyDescent="0.25">
      <c r="A37" s="1"/>
      <c r="B37" s="1"/>
      <c r="C37" s="140">
        <v>19</v>
      </c>
      <c r="D37" s="280"/>
      <c r="E37" s="126" t="str">
        <f>+IFERROR(INDEX(Hoja1!$E$2:$E$45,MATCH('Análisis Resultados'!C37,Hoja1!$H$2:$H$45,0)),"")</f>
        <v>Cada líder del equipo autónomamente toma las acciones para solucionarlos.</v>
      </c>
      <c r="F37" s="127" t="str">
        <f>+IFERROR(VLOOKUP(C37,Hoja1!$H$2:$I$45,2,0),"")</f>
        <v>No</v>
      </c>
      <c r="G37" s="128" t="str">
        <f t="shared" si="0"/>
        <v>No se encuentra el aspecto  por lo tanto la entidad debera generar acciones dirigidas a que se cumpla con el requerimiento.</v>
      </c>
      <c r="H37" s="18"/>
      <c r="I37" s="142">
        <f t="shared" si="1"/>
        <v>0</v>
      </c>
      <c r="J37" s="264"/>
    </row>
    <row r="38" spans="1:10" ht="45" x14ac:dyDescent="0.25">
      <c r="A38" s="1"/>
      <c r="B38" s="1"/>
      <c r="C38" s="140">
        <v>20</v>
      </c>
      <c r="D38" s="280"/>
      <c r="E38" s="126" t="str">
        <f>+IFERROR(INDEX(Hoja1!$E$2:$E$45,MATCH('Análisis Resultados'!C38,Hoja1!$H$2:$H$45,0)),"")</f>
        <v>La identificación de cambios en su entorno que pueden generar consecuencias negativas en su gestión</v>
      </c>
      <c r="F38" s="127" t="str">
        <f>+IFERROR(VLOOKUP(C38,Hoja1!$H$2:$I$45,2,0),"")</f>
        <v>Si</v>
      </c>
      <c r="G38" s="128" t="str">
        <f t="shared" si="0"/>
        <v>Existe requerimiento pero se requiere actividades  dirigidas a su mantenimiento dentro del marco de las lineas de defensa.</v>
      </c>
      <c r="H38" s="18"/>
      <c r="I38" s="142">
        <f t="shared" si="1"/>
        <v>1</v>
      </c>
      <c r="J38" s="264"/>
    </row>
    <row r="39" spans="1:10" ht="45" x14ac:dyDescent="0.25">
      <c r="A39" s="1"/>
      <c r="B39" s="1"/>
      <c r="C39" s="140">
        <v>21</v>
      </c>
      <c r="D39" s="280"/>
      <c r="E39" s="126" t="str">
        <f>+IFERROR(INDEX(Hoja1!$E$2:$E$45,MATCH('Análisis Resultados'!C39,Hoja1!$H$2:$H$45,0)),"")</f>
        <v>La identificación de aquellos problemas o aspectos que pueden afectar el cumplimiento de los planes de la entidad y en general su gestión institucional (riesgos)</v>
      </c>
      <c r="F39" s="127" t="str">
        <f>+IFERROR(VLOOKUP(C39,Hoja1!$H$2:$I$45,2,0),"")</f>
        <v>Si</v>
      </c>
      <c r="G39" s="128" t="str">
        <f t="shared" si="0"/>
        <v>Existe requerimiento pero se requiere actividades  dirigidas a su mantenimiento dentro del marco de las lineas de defensa.</v>
      </c>
      <c r="H39" s="18"/>
      <c r="I39" s="142">
        <f t="shared" si="1"/>
        <v>1</v>
      </c>
      <c r="J39" s="264"/>
    </row>
    <row r="40" spans="1:10" ht="45.75" thickBot="1" x14ac:dyDescent="0.3">
      <c r="A40" s="1"/>
      <c r="B40" s="1"/>
      <c r="C40" s="140">
        <v>22</v>
      </c>
      <c r="D40" s="280"/>
      <c r="E40" s="132" t="str">
        <f>+IFERROR(INDEX(Hoja1!$E$2:$E$45,MATCH('Análisis Resultados'!C40,Hoja1!$H$2:$H$45,0)),"")</f>
        <v>Solamente hasta que un organismo de control actúa se definen acciones de mejora.</v>
      </c>
      <c r="F40" s="133" t="str">
        <f>+IFERROR(VLOOKUP(C40,Hoja1!$H$2:$I$45,2,0),"")</f>
        <v>Si</v>
      </c>
      <c r="G40" s="134" t="str">
        <f t="shared" si="0"/>
        <v>Existe requerimiento pero se requiere actividades  dirigidas a su mantenimiento dentro del marco de las lineas de defensa.</v>
      </c>
      <c r="H40" s="18"/>
      <c r="I40" s="144">
        <f t="shared" si="1"/>
        <v>1</v>
      </c>
      <c r="J40" s="264"/>
    </row>
    <row r="41" spans="1:10" ht="87.75" customHeight="1" x14ac:dyDescent="0.25">
      <c r="A41" s="1"/>
      <c r="B41" s="1"/>
      <c r="C41" s="140">
        <v>23</v>
      </c>
      <c r="D41" s="275" t="s">
        <v>79</v>
      </c>
      <c r="E41" s="123" t="str">
        <f>+IFERROR(INDEX(Hoja1!$E$2:$E$45,MATCH('Análisis Resultados'!C41,Hoja1!$H$2:$H$45,0)),"")</f>
        <v>La definición de acciones o actividades para para dar tratamiento a los problemas identificados (mitigación de riesgos), incluyendo aquellos asociados a posibles actos de corrupción</v>
      </c>
      <c r="F41" s="124" t="str">
        <f>+IFERROR(VLOOKUP(C41,Hoja1!$H$2:$I$45,2,0),"")</f>
        <v>No</v>
      </c>
      <c r="G41" s="125" t="str">
        <f t="shared" si="0"/>
        <v>No se encuentra el aspecto  por lo tanto la entidad debera generar acciones dirigidas a que se cumpla con el requerimiento.</v>
      </c>
      <c r="H41" s="18"/>
      <c r="I41" s="141">
        <f t="shared" si="1"/>
        <v>0</v>
      </c>
      <c r="J41" s="263">
        <f>+AVERAGE(I41:I45)</f>
        <v>0.2</v>
      </c>
    </row>
    <row r="42" spans="1:10" ht="57" x14ac:dyDescent="0.25">
      <c r="A42" s="1"/>
      <c r="B42" s="1"/>
      <c r="C42" s="140">
        <v>24</v>
      </c>
      <c r="D42" s="276"/>
      <c r="E42" s="126" t="str">
        <f>+IFERROR(INDEX(Hoja1!$E$2:$E$45,MATCH('Análisis Resultados'!C42,Hoja1!$H$2:$H$45,0)),"")</f>
        <v>Mecanismos de verificación de si se están o no mitigando los riesgos, o en su defecto, elaboración de planes de contingencia para subsanar sus consecuencias</v>
      </c>
      <c r="F42" s="127" t="str">
        <f>+IFERROR(VLOOKUP(C42,Hoja1!$H$2:$I$45,2,0),"")</f>
        <v>No</v>
      </c>
      <c r="G42" s="128" t="str">
        <f t="shared" si="0"/>
        <v>No se encuentra el aspecto  por lo tanto la entidad debera generar acciones dirigidas a que se cumpla con el requerimiento.</v>
      </c>
      <c r="H42" s="18"/>
      <c r="I42" s="142">
        <f t="shared" si="1"/>
        <v>0</v>
      </c>
      <c r="J42" s="264"/>
    </row>
    <row r="43" spans="1:10" ht="85.5" customHeight="1" x14ac:dyDescent="0.25">
      <c r="A43" s="1"/>
      <c r="B43" s="1"/>
      <c r="C43" s="140">
        <v>25</v>
      </c>
      <c r="D43" s="276"/>
      <c r="E43" s="126" t="str">
        <f>+IFERROR(INDEX(Hoja1!$E$2:$E$45,MATCH('Análisis Resultados'!C43,Hoja1!$H$2:$H$45,0)),"")</f>
        <v>Planes, acciones o estrategias que permitan subsanar las consecuencias de la materialización de los riesgos, cuando se presentan</v>
      </c>
      <c r="F43" s="127" t="str">
        <f>+IFERROR(VLOOKUP(C43,Hoja1!$H$2:$I$45,2,0),"")</f>
        <v>No</v>
      </c>
      <c r="G43" s="128" t="str">
        <f t="shared" si="0"/>
        <v>No se encuentra el aspecto  por lo tanto la entidad debera generar acciones dirigidas a que se cumpla con el requerimiento.</v>
      </c>
      <c r="H43" s="18"/>
      <c r="I43" s="142">
        <f t="shared" si="1"/>
        <v>0</v>
      </c>
      <c r="J43" s="264"/>
    </row>
    <row r="44" spans="1:10" ht="57" customHeight="1" x14ac:dyDescent="0.25">
      <c r="A44" s="1"/>
      <c r="B44" s="1"/>
      <c r="C44" s="140">
        <v>26</v>
      </c>
      <c r="D44" s="276"/>
      <c r="E44" s="126" t="str">
        <f>+IFERROR(INDEX(Hoja1!$E$2:$E$45,MATCH('Análisis Resultados'!C44,Hoja1!$H$2:$H$45,0)),"")</f>
        <v>Un documento que consolide  los riesgos  y el tratamiento que se les da, incluyendo aquellos que conllevan posibles actos de corrupción y si la capacidad e infraestructura lo permite, los asociados con las tecnologías de la información y las comunicaciones</v>
      </c>
      <c r="F44" s="127" t="str">
        <f>+IFERROR(VLOOKUP(C44,Hoja1!$H$2:$I$45,2,0),"")</f>
        <v>No</v>
      </c>
      <c r="G44" s="128" t="str">
        <f t="shared" si="0"/>
        <v>No se encuentra el aspecto  por lo tanto la entidad debera generar acciones dirigidas a que se cumpla con el requerimiento.</v>
      </c>
      <c r="H44" s="18"/>
      <c r="I44" s="142">
        <f t="shared" si="1"/>
        <v>0</v>
      </c>
      <c r="J44" s="264"/>
    </row>
    <row r="45" spans="1:10" ht="57" customHeight="1" thickBot="1" x14ac:dyDescent="0.3">
      <c r="A45" s="1"/>
      <c r="B45" s="1"/>
      <c r="C45" s="140">
        <v>27</v>
      </c>
      <c r="D45" s="277"/>
      <c r="E45" s="129" t="str">
        <f>+IFERROR(INDEX(Hoja1!$E$2:$E$45,MATCH('Análisis Resultados'!C45,Hoja1!$H$2:$H$45,0)),"")</f>
        <v>Un plan anticorrupción y de servicio al ciudadano con los temas que le aplican, publicado en algún medio para conocimiento de la ciudadanía</v>
      </c>
      <c r="F45" s="130" t="str">
        <f>+IFERROR(VLOOKUP(C45,Hoja1!$H$2:$I$45,2,0),"")</f>
        <v>Si</v>
      </c>
      <c r="G45" s="131" t="str">
        <f t="shared" si="0"/>
        <v>Existe requerimiento pero se requiere actividades  dirigidas a su mantenimiento dentro del marco de las lineas de defensa.</v>
      </c>
      <c r="H45" s="18"/>
      <c r="I45" s="143">
        <f t="shared" si="1"/>
        <v>1</v>
      </c>
      <c r="J45" s="278"/>
    </row>
    <row r="46" spans="1:10" ht="63.75" customHeight="1" x14ac:dyDescent="0.25">
      <c r="A46" s="1"/>
      <c r="B46" s="1"/>
      <c r="C46" s="140">
        <v>28</v>
      </c>
      <c r="D46" s="274" t="s">
        <v>87</v>
      </c>
      <c r="E46" s="135" t="str">
        <f>+IFERROR(INDEX(Hoja1!$E$2:$E$45,MATCH('Análisis Resultados'!C46,Hoja1!$H$2:$H$45,0)),"")</f>
        <v xml:space="preserve">Lineamientos para dar tratamiento a la información de carácter reservado </v>
      </c>
      <c r="F46" s="136" t="str">
        <f>+IFERROR(VLOOKUP(C46,Hoja1!$H$2:$I$45,2,0),"")</f>
        <v>No</v>
      </c>
      <c r="G46" s="137" t="str">
        <f t="shared" si="0"/>
        <v>No se encuentra el aspecto  por lo tanto la entidad debera generar acciones dirigidas a que se cumpla con el requerimiento.</v>
      </c>
      <c r="H46" s="18"/>
      <c r="I46" s="145">
        <f t="shared" si="1"/>
        <v>0</v>
      </c>
      <c r="J46" s="264">
        <f>+AVERAGE(I46:I52)</f>
        <v>0.7142857142857143</v>
      </c>
    </row>
    <row r="47" spans="1:10" ht="92.25" customHeight="1" x14ac:dyDescent="0.25">
      <c r="A47" s="1"/>
      <c r="B47" s="1"/>
      <c r="C47" s="140">
        <v>29</v>
      </c>
      <c r="D47" s="274"/>
      <c r="E47" s="126" t="str">
        <f>+IFERROR(INDEX(Hoja1!$E$2:$E$45,MATCH('Análisis Resultados'!C47,Hoja1!$H$2:$H$45,0)),"")</f>
        <v>Identificación de información que produce en el marco de su gestión (Para los ciudadanos, organismos de control, organismos gubernamentales, entre otros)</v>
      </c>
      <c r="F47" s="127" t="str">
        <f>+IFERROR(VLOOKUP(C47,Hoja1!$H$2:$I$45,2,0),"")</f>
        <v>No</v>
      </c>
      <c r="G47" s="138" t="str">
        <f t="shared" si="0"/>
        <v>No se encuentra el aspecto  por lo tanto la entidad debera generar acciones dirigidas a que se cumpla con el requerimiento.</v>
      </c>
      <c r="H47" s="18"/>
      <c r="I47" s="146">
        <f t="shared" si="1"/>
        <v>0</v>
      </c>
      <c r="J47" s="264"/>
    </row>
    <row r="48" spans="1:10" ht="66.75" customHeight="1" x14ac:dyDescent="0.25">
      <c r="A48" s="1"/>
      <c r="B48" s="1"/>
      <c r="C48" s="140">
        <v>30</v>
      </c>
      <c r="D48" s="274"/>
      <c r="E48" s="126" t="str">
        <f>+IFERROR(INDEX(Hoja1!$E$2:$E$45,MATCH('Análisis Resultados'!C48,Hoja1!$H$2:$H$45,0)),"")</f>
        <v>Responsables de la información institucional</v>
      </c>
      <c r="F48" s="127" t="str">
        <f>+IFERROR(VLOOKUP(C48,Hoja1!$H$2:$I$45,2,0),"")</f>
        <v>Si</v>
      </c>
      <c r="G48" s="138" t="str">
        <f t="shared" si="0"/>
        <v>Existe requerimiento pero se requiere actividades  dirigidas a su mantenimiento dentro del marco de las lineas de defensa.</v>
      </c>
      <c r="H48" s="18"/>
      <c r="I48" s="146">
        <f t="shared" si="1"/>
        <v>1</v>
      </c>
      <c r="J48" s="264"/>
    </row>
    <row r="49" spans="1:10" ht="60" customHeight="1" x14ac:dyDescent="0.25">
      <c r="A49" s="1"/>
      <c r="B49" s="1"/>
      <c r="C49" s="140">
        <v>31</v>
      </c>
      <c r="D49" s="274"/>
      <c r="E49" s="126" t="str">
        <f>+IFERROR(INDEX(Hoja1!$E$2:$E$45,MATCH('Análisis Resultados'!C49,Hoja1!$H$2:$H$45,0)),"")</f>
        <v>Canales de comunicación con los ciudadanos</v>
      </c>
      <c r="F49" s="127" t="str">
        <f>+IFERROR(VLOOKUP(C49,Hoja1!$H$2:$I$45,2,0),"")</f>
        <v>Si</v>
      </c>
      <c r="G49" s="138" t="str">
        <f t="shared" si="0"/>
        <v>Existe requerimiento pero se requiere actividades  dirigidas a su mantenimiento dentro del marco de las lineas de defensa.</v>
      </c>
      <c r="H49" s="18"/>
      <c r="I49" s="146">
        <f t="shared" si="1"/>
        <v>1</v>
      </c>
      <c r="J49" s="264"/>
    </row>
    <row r="50" spans="1:10" ht="57" customHeight="1" x14ac:dyDescent="0.25">
      <c r="A50" s="1"/>
      <c r="B50" s="1"/>
      <c r="C50" s="140">
        <v>32</v>
      </c>
      <c r="D50" s="274"/>
      <c r="E50" s="126" t="str">
        <f>+IFERROR(INDEX(Hoja1!$E$2:$E$45,MATCH('Análisis Resultados'!C50,Hoja1!$H$2:$H$45,0)),"")</f>
        <v>Canales de comunicación o mecanismos de reporte de información a otros organismos gubernamentales o de control</v>
      </c>
      <c r="F50" s="127" t="str">
        <f>+IFERROR(VLOOKUP(C50,Hoja1!$H$2:$I$45,2,0),"")</f>
        <v>Si</v>
      </c>
      <c r="G50" s="138" t="str">
        <f t="shared" si="0"/>
        <v>Existe requerimiento pero se requiere actividades  dirigidas a su mantenimiento dentro del marco de las lineas de defensa.</v>
      </c>
      <c r="H50" s="18"/>
      <c r="I50" s="146">
        <f t="shared" si="1"/>
        <v>1</v>
      </c>
      <c r="J50" s="264"/>
    </row>
    <row r="51" spans="1:10" ht="57" customHeight="1" x14ac:dyDescent="0.25">
      <c r="A51" s="1"/>
      <c r="B51" s="1"/>
      <c r="C51" s="140">
        <v>33</v>
      </c>
      <c r="D51" s="274"/>
      <c r="E51" s="126" t="str">
        <f>+IFERROR(INDEX(Hoja1!$E$2:$E$45,MATCH('Análisis Resultados'!C51,Hoja1!$H$2:$H$45,0)),"")</f>
        <v>Identificación de información necesaria para la operación de la entidad (normograma, presupuesto, talento humano, infraestructura física y tecnológica)</v>
      </c>
      <c r="F51" s="127" t="str">
        <f>+IFERROR(VLOOKUP(C51,Hoja1!$H$2:$I$45,2,0),"")</f>
        <v>Si</v>
      </c>
      <c r="G51" s="138" t="str">
        <f t="shared" si="0"/>
        <v>Existe requerimiento pero se requiere actividades  dirigidas a su mantenimiento dentro del marco de las lineas de defensa.</v>
      </c>
      <c r="H51" s="18"/>
      <c r="I51" s="146">
        <f t="shared" si="1"/>
        <v>1</v>
      </c>
      <c r="J51" s="264"/>
    </row>
    <row r="52" spans="1:10" ht="45.75" thickBot="1" x14ac:dyDescent="0.3">
      <c r="A52" s="1"/>
      <c r="B52" s="1"/>
      <c r="C52" s="140">
        <v>34</v>
      </c>
      <c r="D52" s="274"/>
      <c r="E52" s="132" t="str">
        <f>+IFERROR(INDEX(Hoja1!$E$2:$E$45,MATCH('Análisis Resultados'!C52,Hoja1!$H$2:$H$45,0)),"")</f>
        <v>Si su capacidad e infraestructura lo permite, tecnologías de la información y las comunicaciones que soporten estos procesos</v>
      </c>
      <c r="F52" s="133" t="str">
        <f>+IFERROR(VLOOKUP(C52,Hoja1!$H$2:$I$45,2,0),"")</f>
        <v>Si</v>
      </c>
      <c r="G52" s="139" t="str">
        <f t="shared" si="0"/>
        <v>Existe requerimiento pero se requiere actividades  dirigidas a su mantenimiento dentro del marco de las lineas de defensa.</v>
      </c>
      <c r="H52" s="18"/>
      <c r="I52" s="147">
        <f t="shared" si="1"/>
        <v>1</v>
      </c>
      <c r="J52" s="264"/>
    </row>
    <row r="53" spans="1:10" ht="41.25" customHeight="1" x14ac:dyDescent="0.25">
      <c r="A53" s="1"/>
      <c r="B53" s="1"/>
      <c r="C53" s="140">
        <v>35</v>
      </c>
      <c r="D53" s="268" t="s">
        <v>97</v>
      </c>
      <c r="E53" s="123" t="str">
        <f>+IFERROR(INDEX(Hoja1!$E$2:$E$45,MATCH('Análisis Resultados'!C53,Hoja1!$H$2:$H$45,0)),"")</f>
        <v>Mecanismos de evaluación de la gestión (cronogramas, indicadores, listas de chequeo u otros)</v>
      </c>
      <c r="F53" s="124" t="str">
        <f>+IFERROR(VLOOKUP(C53,Hoja1!$H$2:$I$45,2,0),"")</f>
        <v>No</v>
      </c>
      <c r="G53" s="125" t="str">
        <f t="shared" si="0"/>
        <v>No se encuentra el aspecto  por lo tanto la entidad debera generar acciones dirigidas a que se cumpla con el requerimiento.</v>
      </c>
      <c r="H53" s="18"/>
      <c r="I53" s="141">
        <f t="shared" si="1"/>
        <v>0</v>
      </c>
      <c r="J53" s="271">
        <f>+AVERAGE(I53:I62)</f>
        <v>0.3</v>
      </c>
    </row>
    <row r="54" spans="1:10" ht="58.5" customHeight="1" x14ac:dyDescent="0.25">
      <c r="A54" s="1"/>
      <c r="B54" s="1"/>
      <c r="C54" s="140">
        <v>36</v>
      </c>
      <c r="D54" s="269"/>
      <c r="E54" s="126" t="str">
        <f>+IFERROR(INDEX(Hoja1!$E$2:$E$45,MATCH('Análisis Resultados'!C54,Hoja1!$H$2:$H$45,0)),"")</f>
        <v>Medidas correctivas en caso de detectarse deficiencias en los ejercicios de evaluación, seguimiento o auditoría</v>
      </c>
      <c r="F54" s="127" t="str">
        <f>+IFERROR(VLOOKUP(C54,Hoja1!$H$2:$I$45,2,0),"")</f>
        <v>No</v>
      </c>
      <c r="G54" s="128" t="str">
        <f t="shared" si="0"/>
        <v>No se encuentra el aspecto  por lo tanto la entidad debera generar acciones dirigidas a que se cumpla con el requerimiento.</v>
      </c>
      <c r="H54" s="18"/>
      <c r="I54" s="142">
        <f t="shared" si="1"/>
        <v>0</v>
      </c>
      <c r="J54" s="272"/>
    </row>
    <row r="55" spans="1:10" s="1" customFormat="1" ht="84.75" customHeight="1" x14ac:dyDescent="0.25">
      <c r="C55" s="140">
        <v>37</v>
      </c>
      <c r="D55" s="269"/>
      <c r="E55" s="126" t="str">
        <f>+IFERROR(INDEX(Hoja1!$E$2:$E$45,MATCH('Análisis Resultados'!C55,Hoja1!$H$2:$H$45,0)),"")</f>
        <v>La entidad participa en el  Comité Municipal de Auditoría?</v>
      </c>
      <c r="F55" s="127" t="str">
        <f>+IFERROR(VLOOKUP(C55,Hoja1!$H$2:$I$45,2,0),"")</f>
        <v>No</v>
      </c>
      <c r="G55" s="128" t="str">
        <f t="shared" si="0"/>
        <v>No se encuentra el aspecto  por lo tanto la entidad debera generar acciones dirigidas a que se cumpla con el requerimiento.</v>
      </c>
      <c r="H55" s="6"/>
      <c r="I55" s="142">
        <f t="shared" si="1"/>
        <v>0</v>
      </c>
      <c r="J55" s="272"/>
    </row>
    <row r="56" spans="1:10" s="1" customFormat="1" ht="78.75" customHeight="1" x14ac:dyDescent="0.25">
      <c r="C56" s="140">
        <v>38</v>
      </c>
      <c r="D56" s="269"/>
      <c r="E56" s="126" t="str">
        <f>+IFERROR(INDEX(Hoja1!$E$2:$E$45,MATCH('Análisis Resultados'!C56,Hoja1!$H$2:$H$45,0)),"")</f>
        <v>Ejecutar las acciones de acuerdo a como se diseñaron previamente.</v>
      </c>
      <c r="F56" s="127" t="str">
        <f>+IFERROR(VLOOKUP(C56,Hoja1!$H$2:$I$45,2,0),"")</f>
        <v>No</v>
      </c>
      <c r="G56" s="128" t="str">
        <f t="shared" si="0"/>
        <v>No se encuentra el aspecto  por lo tanto la entidad debera generar acciones dirigidas a que se cumpla con el requerimiento.</v>
      </c>
      <c r="H56" s="6"/>
      <c r="I56" s="142">
        <f t="shared" si="1"/>
        <v>0</v>
      </c>
      <c r="J56" s="272"/>
    </row>
    <row r="57" spans="1:10" s="1" customFormat="1" ht="54.75" customHeight="1" x14ac:dyDescent="0.25">
      <c r="C57" s="140">
        <v>39</v>
      </c>
      <c r="D57" s="269"/>
      <c r="E57" s="126" t="str">
        <f>+IFERROR(INDEX(Hoja1!$E$2:$E$45,MATCH('Análisis Resultados'!C57,Hoja1!$H$2:$H$45,0)),"")</f>
        <v>No se gestionan los problemas que afectan el cumplimiento de las funciones y objetivos institucionales(riesgos).</v>
      </c>
      <c r="F57" s="127" t="str">
        <f>+IFERROR(VLOOKUP(C57,Hoja1!$H$2:$I$45,2,0),"")</f>
        <v>No</v>
      </c>
      <c r="G57" s="128" t="str">
        <f t="shared" si="0"/>
        <v>No se encuentra el aspecto  por lo tanto la entidad debera generar acciones dirigidas a que se cumpla con el requerimiento.</v>
      </c>
      <c r="H57" s="6"/>
      <c r="I57" s="142">
        <f t="shared" si="1"/>
        <v>0</v>
      </c>
      <c r="J57" s="272"/>
    </row>
    <row r="58" spans="1:10" s="1" customFormat="1" ht="68.25" customHeight="1" x14ac:dyDescent="0.25">
      <c r="C58" s="140">
        <v>40</v>
      </c>
      <c r="D58" s="269"/>
      <c r="E58" s="126" t="str">
        <f>+IFERROR(INDEX(Hoja1!$E$2:$E$45,MATCH('Análisis Resultados'!C58,Hoja1!$H$2:$H$45,0)),"")</f>
        <v>Seguimiento a los planes de mejoramiento suscritos con instancias de control internas o externas</v>
      </c>
      <c r="F58" s="127" t="str">
        <f>+IFERROR(VLOOKUP(C58,Hoja1!$H$2:$I$45,2,0),"")</f>
        <v>En proceso</v>
      </c>
      <c r="G58" s="128" t="str">
        <f t="shared" si="0"/>
        <v>Se encuentra en proceso, pero requiere continuar con acciones dirigidas a contar con dicho aspecto de control.</v>
      </c>
      <c r="H58" s="6"/>
      <c r="I58" s="142">
        <f t="shared" si="1"/>
        <v>0.5</v>
      </c>
      <c r="J58" s="272"/>
    </row>
    <row r="59" spans="1:10" s="1" customFormat="1" ht="45" customHeight="1" x14ac:dyDescent="0.25">
      <c r="C59" s="140">
        <v>41</v>
      </c>
      <c r="D59" s="269"/>
      <c r="E59" s="126" t="str">
        <f>+IFERROR(INDEX(Hoja1!$E$2:$E$45,MATCH('Análisis Resultados'!C59,Hoja1!$H$2:$H$45,0)),"")</f>
        <v>Evitar que los problemas (riesgos) obstaculicen el cumplimiento de los objetivos.</v>
      </c>
      <c r="F59" s="127" t="str">
        <f>+IFERROR(VLOOKUP(C59,Hoja1!$H$2:$I$45,2,0),"")</f>
        <v>En proceso</v>
      </c>
      <c r="G59" s="128" t="str">
        <f t="shared" si="0"/>
        <v>Se encuentra en proceso, pero requiere continuar con acciones dirigidas a contar con dicho aspecto de control.</v>
      </c>
      <c r="H59" s="6"/>
      <c r="I59" s="142">
        <f t="shared" si="1"/>
        <v>0.5</v>
      </c>
      <c r="J59" s="272"/>
    </row>
    <row r="60" spans="1:10" s="1" customFormat="1" ht="51.75" customHeight="1" x14ac:dyDescent="0.25">
      <c r="C60" s="140">
        <v>42</v>
      </c>
      <c r="D60" s="269"/>
      <c r="E60" s="126" t="str">
        <f>+IFERROR(INDEX(Hoja1!$E$2:$E$45,MATCH('Análisis Resultados'!C60,Hoja1!$H$2:$H$45,0)),"")</f>
        <v>Controlar los puntos críticos en los procesos.</v>
      </c>
      <c r="F60" s="127" t="str">
        <f>+IFERROR(VLOOKUP(C60,Hoja1!$H$2:$I$45,2,0),"")</f>
        <v>En proceso</v>
      </c>
      <c r="G60" s="128" t="str">
        <f t="shared" si="0"/>
        <v>Se encuentra en proceso, pero requiere continuar con acciones dirigidas a contar con dicho aspecto de control.</v>
      </c>
      <c r="H60" s="6"/>
      <c r="I60" s="142">
        <f t="shared" si="1"/>
        <v>0.5</v>
      </c>
      <c r="J60" s="272"/>
    </row>
    <row r="61" spans="1:10" s="1" customFormat="1" ht="84" customHeight="1" x14ac:dyDescent="0.25">
      <c r="C61" s="140">
        <v>43</v>
      </c>
      <c r="D61" s="269"/>
      <c r="E61" s="126" t="str">
        <f>+IFERROR(INDEX(Hoja1!$E$2:$E$45,MATCH('Análisis Resultados'!C61,Hoja1!$H$2:$H$45,0)),"")</f>
        <v>Diseñar acciones adecuadas para controlar los problemas que afectan el cumplimiento de las metas y objetivos institucionales (riesgos).</v>
      </c>
      <c r="F61" s="127" t="str">
        <f>+IFERROR(VLOOKUP(C61,Hoja1!$H$2:$I$45,2,0),"")</f>
        <v>En proceso</v>
      </c>
      <c r="G61" s="128" t="str">
        <f t="shared" si="0"/>
        <v>Se encuentra en proceso, pero requiere continuar con acciones dirigidas a contar con dicho aspecto de control.</v>
      </c>
      <c r="H61" s="6"/>
      <c r="I61" s="142">
        <f t="shared" si="1"/>
        <v>0.5</v>
      </c>
      <c r="J61" s="272"/>
    </row>
    <row r="62" spans="1:10" s="1" customFormat="1" ht="60" customHeight="1" thickBot="1" x14ac:dyDescent="0.3">
      <c r="C62" s="140">
        <v>44</v>
      </c>
      <c r="D62" s="270"/>
      <c r="E62" s="129" t="str">
        <f>+IFERROR(INDEX(Hoja1!$E$2:$E$45,MATCH('Análisis Resultados'!C62,Hoja1!$H$2:$H$45,0)),"")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62" s="130" t="str">
        <f>+IFERROR(VLOOKUP(C62,Hoja1!$H$2:$I$45,2,0),"")</f>
        <v>Si</v>
      </c>
      <c r="G62" s="131" t="str">
        <f t="shared" si="0"/>
        <v>Existe requerimiento pero se requiere actividades  dirigidas a su mantenimiento dentro del marco de las lineas de defensa.</v>
      </c>
      <c r="H62" s="6"/>
      <c r="I62" s="143">
        <f t="shared" si="1"/>
        <v>1</v>
      </c>
      <c r="J62" s="273"/>
    </row>
    <row r="63" spans="1:10" s="1" customFormat="1" x14ac:dyDescent="0.25">
      <c r="H63" s="6"/>
    </row>
    <row r="64" spans="1:10" s="1" customFormat="1" x14ac:dyDescent="0.25">
      <c r="H64" s="6"/>
    </row>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C7:K7"/>
    <mergeCell ref="C9:D9"/>
    <mergeCell ref="E9:F9"/>
    <mergeCell ref="C10:D10"/>
    <mergeCell ref="E10:F10"/>
    <mergeCell ref="C11:D11"/>
    <mergeCell ref="E11:F11"/>
    <mergeCell ref="J17:J18"/>
    <mergeCell ref="D19:D30"/>
    <mergeCell ref="C17:C18"/>
    <mergeCell ref="D17:E17"/>
    <mergeCell ref="F17:F18"/>
    <mergeCell ref="G17:G18"/>
    <mergeCell ref="I17:I18"/>
    <mergeCell ref="J31:J40"/>
    <mergeCell ref="C12:D12"/>
    <mergeCell ref="E12:F12"/>
    <mergeCell ref="J19:J30"/>
    <mergeCell ref="D53:D62"/>
    <mergeCell ref="J53:J62"/>
    <mergeCell ref="D46:D52"/>
    <mergeCell ref="J46:J52"/>
    <mergeCell ref="D41:D45"/>
    <mergeCell ref="J41:J45"/>
    <mergeCell ref="D31:D40"/>
  </mergeCells>
  <conditionalFormatting sqref="I19:I62">
    <cfRule type="cellIs" dxfId="19" priority="4" operator="between">
      <formula>0.75</formula>
      <formula>1</formula>
    </cfRule>
    <cfRule type="cellIs" dxfId="18" priority="5" operator="between">
      <formula>0.5</formula>
      <formula>0.74</formula>
    </cfRule>
    <cfRule type="cellIs" dxfId="17" priority="6" operator="between">
      <formula>0</formula>
      <formula>0.49</formula>
    </cfRule>
  </conditionalFormatting>
  <conditionalFormatting sqref="J53 J19:J31 J46 J41">
    <cfRule type="cellIs" priority="1" operator="between">
      <formula>0.75</formula>
      <formula>1</formula>
    </cfRule>
    <cfRule type="cellIs" dxfId="16" priority="2" operator="between">
      <formula>0.5</formula>
      <formula>0.75</formula>
    </cfRule>
    <cfRule type="cellIs" dxfId="15"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tabSelected="1" topLeftCell="A6" zoomScale="50" zoomScaleNormal="50" workbookViewId="0">
      <selection activeCell="F21" sqref="F21:M21"/>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6"/>
      <c r="D4" s="6"/>
      <c r="E4" s="301" t="s">
        <v>124</v>
      </c>
      <c r="F4" s="303"/>
      <c r="G4" s="303"/>
      <c r="H4" s="303"/>
      <c r="I4" s="303"/>
      <c r="J4" s="303"/>
      <c r="K4" s="303"/>
      <c r="L4" s="303"/>
      <c r="M4" s="303"/>
      <c r="N4" s="7"/>
      <c r="O4" s="7"/>
      <c r="P4" s="8"/>
      <c r="Q4" s="1"/>
    </row>
    <row r="5" spans="1:17" ht="45.75" customHeight="1" x14ac:dyDescent="0.3">
      <c r="A5" s="1"/>
      <c r="B5" s="5"/>
      <c r="C5" s="6"/>
      <c r="D5" s="6"/>
      <c r="E5" s="302"/>
      <c r="F5" s="303"/>
      <c r="G5" s="303"/>
      <c r="H5" s="303"/>
      <c r="I5" s="303"/>
      <c r="J5" s="303"/>
      <c r="K5" s="303"/>
      <c r="L5" s="303"/>
      <c r="M5" s="303"/>
      <c r="N5" s="7"/>
      <c r="O5" s="7"/>
      <c r="P5" s="8"/>
      <c r="Q5" s="1"/>
    </row>
    <row r="6" spans="1:17" ht="66.75" customHeight="1" x14ac:dyDescent="0.3">
      <c r="A6" s="1"/>
      <c r="B6" s="5"/>
      <c r="C6" s="6"/>
      <c r="D6" s="6"/>
      <c r="E6" s="96" t="s">
        <v>125</v>
      </c>
      <c r="F6" s="304"/>
      <c r="G6" s="305"/>
      <c r="H6" s="305"/>
      <c r="I6" s="305"/>
      <c r="J6" s="305"/>
      <c r="K6" s="305"/>
      <c r="L6" s="305"/>
      <c r="M6" s="306"/>
      <c r="N6" s="9"/>
      <c r="O6" s="9"/>
      <c r="P6" s="8"/>
      <c r="Q6" s="1"/>
    </row>
    <row r="7" spans="1:17" ht="17.25" thickBot="1" x14ac:dyDescent="0.35">
      <c r="A7" s="1"/>
      <c r="B7" s="5"/>
      <c r="C7" s="6"/>
      <c r="D7" s="6"/>
      <c r="E7" s="10"/>
      <c r="F7" s="9"/>
      <c r="G7" s="9"/>
      <c r="H7" s="9"/>
      <c r="I7" s="9"/>
      <c r="J7" s="9"/>
      <c r="K7" s="9"/>
      <c r="L7" s="9"/>
      <c r="M7" s="6"/>
      <c r="N7" s="6"/>
      <c r="O7" s="6"/>
      <c r="P7" s="8"/>
      <c r="Q7" s="1"/>
    </row>
    <row r="8" spans="1:17" ht="97.5" customHeight="1" thickBot="1" x14ac:dyDescent="0.3">
      <c r="A8" s="1"/>
      <c r="B8" s="5"/>
      <c r="C8" s="6"/>
      <c r="D8" s="6"/>
      <c r="E8" s="6"/>
      <c r="F8" s="6"/>
      <c r="G8" s="6"/>
      <c r="H8" s="6"/>
      <c r="I8" s="307" t="s">
        <v>126</v>
      </c>
      <c r="J8" s="308"/>
      <c r="K8" s="309"/>
      <c r="L8" s="6"/>
      <c r="M8" s="148">
        <f>+AVERAGE(G26,G28,G30,G32,G34)</f>
        <v>0.42785714285714282</v>
      </c>
      <c r="N8" s="11"/>
      <c r="O8" s="11"/>
      <c r="P8" s="8"/>
      <c r="Q8" s="1"/>
    </row>
    <row r="9" spans="1:17" ht="15.75" x14ac:dyDescent="0.25">
      <c r="A9" s="1"/>
      <c r="B9" s="5"/>
      <c r="C9" s="6"/>
      <c r="D9" s="6"/>
      <c r="E9" s="6"/>
      <c r="F9" s="6"/>
      <c r="G9" s="6"/>
      <c r="H9" s="6"/>
      <c r="I9" s="6"/>
      <c r="J9" s="6"/>
      <c r="K9" s="6"/>
      <c r="L9" s="6"/>
      <c r="M9" s="12"/>
      <c r="N9" s="12"/>
      <c r="O9" s="12"/>
      <c r="P9" s="8"/>
      <c r="Q9" s="1"/>
    </row>
    <row r="10" spans="1:17" x14ac:dyDescent="0.25">
      <c r="A10" s="1"/>
      <c r="B10" s="5"/>
      <c r="C10" s="6"/>
      <c r="D10" s="6"/>
      <c r="E10" s="6"/>
      <c r="F10" s="6"/>
      <c r="G10" s="6"/>
      <c r="H10" s="6"/>
      <c r="I10" s="6"/>
      <c r="J10" s="6"/>
      <c r="K10" s="6"/>
      <c r="L10" s="6"/>
      <c r="M10" s="6"/>
      <c r="N10" s="6"/>
      <c r="O10" s="6"/>
      <c r="P10" s="8"/>
      <c r="Q10" s="1"/>
    </row>
    <row r="11" spans="1:17" x14ac:dyDescent="0.25">
      <c r="A11" s="1"/>
      <c r="B11" s="5"/>
      <c r="C11" s="6"/>
      <c r="D11" s="6"/>
      <c r="E11" s="6"/>
      <c r="F11" s="6"/>
      <c r="G11" s="6"/>
      <c r="H11" s="6"/>
      <c r="I11" s="6"/>
      <c r="J11" s="6"/>
      <c r="K11" s="6"/>
      <c r="L11" s="6"/>
      <c r="M11" s="6"/>
      <c r="N11" s="6"/>
      <c r="O11" s="6"/>
      <c r="P11" s="8"/>
      <c r="Q11" s="1"/>
    </row>
    <row r="12" spans="1:17" x14ac:dyDescent="0.25">
      <c r="A12" s="1"/>
      <c r="B12" s="5"/>
      <c r="C12" s="6"/>
      <c r="D12" s="6"/>
      <c r="E12" s="6"/>
      <c r="F12" s="6"/>
      <c r="G12" s="6"/>
      <c r="H12" s="6"/>
      <c r="I12" s="6"/>
      <c r="J12" s="6"/>
      <c r="K12" s="6"/>
      <c r="L12" s="6"/>
      <c r="M12" s="6"/>
      <c r="N12" s="6"/>
      <c r="O12" s="6"/>
      <c r="P12" s="8"/>
      <c r="Q12" s="1"/>
    </row>
    <row r="13" spans="1:17" x14ac:dyDescent="0.25">
      <c r="A13" s="1"/>
      <c r="B13" s="5"/>
      <c r="C13" s="6"/>
      <c r="D13" s="6"/>
      <c r="E13" s="6"/>
      <c r="F13" s="6"/>
      <c r="G13" s="6"/>
      <c r="H13" s="6"/>
      <c r="I13" s="6"/>
      <c r="J13" s="6"/>
      <c r="K13" s="6"/>
      <c r="L13" s="6"/>
      <c r="M13" s="6"/>
      <c r="N13" s="6"/>
      <c r="O13" s="6"/>
      <c r="P13" s="8"/>
      <c r="Q13" s="1"/>
    </row>
    <row r="14" spans="1:17" x14ac:dyDescent="0.25">
      <c r="A14" s="1"/>
      <c r="B14" s="5"/>
      <c r="C14" s="6"/>
      <c r="D14" s="6"/>
      <c r="E14" s="6"/>
      <c r="F14" s="6"/>
      <c r="G14" s="6"/>
      <c r="H14" s="6"/>
      <c r="I14" s="6"/>
      <c r="J14" s="6"/>
      <c r="K14" s="6"/>
      <c r="L14" s="6"/>
      <c r="M14" s="6"/>
      <c r="N14" s="6"/>
      <c r="O14" s="6"/>
      <c r="P14" s="8"/>
      <c r="Q14" s="1"/>
    </row>
    <row r="15" spans="1:17" x14ac:dyDescent="0.25">
      <c r="A15" s="1"/>
      <c r="B15" s="5"/>
      <c r="C15" s="6"/>
      <c r="D15" s="6"/>
      <c r="E15" s="6"/>
      <c r="F15" s="6"/>
      <c r="G15" s="6"/>
      <c r="H15" s="6"/>
      <c r="I15" s="6"/>
      <c r="J15" s="6"/>
      <c r="K15" s="6"/>
      <c r="L15" s="6"/>
      <c r="M15" s="6"/>
      <c r="N15" s="6"/>
      <c r="O15" s="6"/>
      <c r="P15" s="8"/>
      <c r="Q15" s="1"/>
    </row>
    <row r="16" spans="1:17" x14ac:dyDescent="0.25">
      <c r="A16" s="1"/>
      <c r="B16" s="5"/>
      <c r="C16" s="6"/>
      <c r="D16" s="6"/>
      <c r="E16" s="6"/>
      <c r="F16" s="6"/>
      <c r="G16" s="6"/>
      <c r="H16" s="6"/>
      <c r="I16" s="6"/>
      <c r="J16" s="6"/>
      <c r="K16" s="6"/>
      <c r="L16" s="6"/>
      <c r="M16" s="6"/>
      <c r="N16" s="6"/>
      <c r="O16" s="6"/>
      <c r="P16" s="8"/>
      <c r="Q16" s="1"/>
    </row>
    <row r="17" spans="1:17" x14ac:dyDescent="0.25">
      <c r="A17" s="1"/>
      <c r="B17" s="5"/>
      <c r="C17" s="6"/>
      <c r="D17" s="6"/>
      <c r="E17" s="6"/>
      <c r="F17" s="6"/>
      <c r="G17" s="6"/>
      <c r="H17" s="6"/>
      <c r="I17" s="6"/>
      <c r="J17" s="6"/>
      <c r="K17" s="6"/>
      <c r="L17" s="6"/>
      <c r="M17" s="6"/>
      <c r="N17" s="6"/>
      <c r="O17" s="6"/>
      <c r="P17" s="8"/>
      <c r="Q17" s="1"/>
    </row>
    <row r="18" spans="1:17" ht="23.25" x14ac:dyDescent="0.25">
      <c r="A18" s="1"/>
      <c r="B18" s="5"/>
      <c r="C18" s="310" t="s">
        <v>127</v>
      </c>
      <c r="D18" s="311"/>
      <c r="E18" s="311"/>
      <c r="F18" s="311"/>
      <c r="G18" s="311"/>
      <c r="H18" s="311"/>
      <c r="I18" s="311"/>
      <c r="J18" s="311"/>
      <c r="K18" s="311"/>
      <c r="L18" s="311"/>
      <c r="M18" s="312"/>
      <c r="N18" s="13"/>
      <c r="O18" s="13"/>
      <c r="P18" s="8"/>
      <c r="Q18" s="1"/>
    </row>
    <row r="19" spans="1:17" ht="16.5" thickBot="1" x14ac:dyDescent="0.3">
      <c r="A19" s="1"/>
      <c r="B19" s="5"/>
      <c r="C19" s="14"/>
      <c r="D19" s="14"/>
      <c r="E19" s="14"/>
      <c r="F19" s="14"/>
      <c r="G19" s="14"/>
      <c r="H19" s="14"/>
      <c r="I19" s="14"/>
      <c r="J19" s="14"/>
      <c r="K19" s="14"/>
      <c r="L19" s="14"/>
      <c r="M19" s="14"/>
      <c r="N19" s="15"/>
      <c r="O19" s="15"/>
      <c r="P19" s="8"/>
      <c r="Q19" s="1"/>
    </row>
    <row r="20" spans="1:17" ht="150" customHeight="1" x14ac:dyDescent="0.25">
      <c r="A20" s="1"/>
      <c r="B20" s="5"/>
      <c r="C20" s="313" t="s">
        <v>128</v>
      </c>
      <c r="D20" s="314"/>
      <c r="E20" s="151" t="s">
        <v>76</v>
      </c>
      <c r="F20" s="315" t="s">
        <v>229</v>
      </c>
      <c r="G20" s="316"/>
      <c r="H20" s="316"/>
      <c r="I20" s="316"/>
      <c r="J20" s="316"/>
      <c r="K20" s="316"/>
      <c r="L20" s="316"/>
      <c r="M20" s="317"/>
      <c r="N20" s="15"/>
      <c r="O20" s="15"/>
      <c r="P20" s="8"/>
      <c r="Q20" s="1"/>
    </row>
    <row r="21" spans="1:17" ht="126.75" customHeight="1" x14ac:dyDescent="0.25">
      <c r="A21" s="1"/>
      <c r="B21" s="5"/>
      <c r="C21" s="297" t="s">
        <v>129</v>
      </c>
      <c r="D21" s="298"/>
      <c r="E21" s="152" t="s">
        <v>36</v>
      </c>
      <c r="F21" s="318" t="s">
        <v>230</v>
      </c>
      <c r="G21" s="319"/>
      <c r="H21" s="319"/>
      <c r="I21" s="319"/>
      <c r="J21" s="319"/>
      <c r="K21" s="319"/>
      <c r="L21" s="319"/>
      <c r="M21" s="320"/>
      <c r="N21" s="15"/>
      <c r="O21" s="15"/>
      <c r="P21" s="8"/>
      <c r="Q21" s="1"/>
    </row>
    <row r="22" spans="1:17" ht="151.5" customHeight="1" thickBot="1" x14ac:dyDescent="0.3">
      <c r="A22" s="1"/>
      <c r="B22" s="5"/>
      <c r="C22" s="299" t="s">
        <v>130</v>
      </c>
      <c r="D22" s="300"/>
      <c r="E22" s="153" t="s">
        <v>36</v>
      </c>
      <c r="F22" s="321" t="s">
        <v>231</v>
      </c>
      <c r="G22" s="321"/>
      <c r="H22" s="321"/>
      <c r="I22" s="321"/>
      <c r="J22" s="321"/>
      <c r="K22" s="321"/>
      <c r="L22" s="321"/>
      <c r="M22" s="322"/>
      <c r="N22" s="15"/>
      <c r="O22" s="15"/>
      <c r="P22" s="8"/>
      <c r="Q22" s="1"/>
    </row>
    <row r="23" spans="1:17" x14ac:dyDescent="0.25">
      <c r="A23" s="1"/>
      <c r="B23" s="5"/>
      <c r="C23" s="6"/>
      <c r="D23" s="6"/>
      <c r="E23" s="6"/>
      <c r="F23" s="6"/>
      <c r="G23" s="16"/>
      <c r="H23" s="6"/>
      <c r="I23" s="6"/>
      <c r="J23" s="6"/>
      <c r="K23" s="6"/>
      <c r="L23" s="6"/>
      <c r="M23" s="6"/>
      <c r="N23" s="6"/>
      <c r="O23" s="6"/>
      <c r="P23" s="8"/>
      <c r="Q23" s="1"/>
    </row>
    <row r="24" spans="1:17" ht="78.75" x14ac:dyDescent="0.25">
      <c r="A24" s="1"/>
      <c r="B24" s="5"/>
      <c r="C24" s="99" t="s">
        <v>131</v>
      </c>
      <c r="D24" s="100"/>
      <c r="E24" s="99" t="s">
        <v>132</v>
      </c>
      <c r="F24" s="100"/>
      <c r="G24" s="99" t="s">
        <v>133</v>
      </c>
      <c r="H24" s="100"/>
      <c r="I24" s="326" t="s">
        <v>134</v>
      </c>
      <c r="J24" s="326"/>
      <c r="K24" s="326"/>
      <c r="L24" s="326"/>
      <c r="M24" s="326"/>
      <c r="N24" s="33"/>
      <c r="O24" s="33"/>
      <c r="P24" s="8"/>
      <c r="Q24" s="17"/>
    </row>
    <row r="25" spans="1:17" ht="13.5" customHeight="1" thickBot="1" x14ac:dyDescent="0.3">
      <c r="A25" s="1"/>
      <c r="B25" s="5"/>
      <c r="C25" s="32"/>
      <c r="D25" s="18"/>
      <c r="E25" s="18"/>
      <c r="F25" s="18"/>
      <c r="G25" s="18"/>
      <c r="H25" s="18"/>
      <c r="I25" s="327"/>
      <c r="J25" s="327"/>
      <c r="K25" s="327"/>
      <c r="L25" s="327"/>
      <c r="M25" s="327"/>
      <c r="N25" s="34"/>
      <c r="O25" s="34"/>
      <c r="P25" s="8"/>
      <c r="Q25" s="1"/>
    </row>
    <row r="26" spans="1:17" ht="155.25" customHeight="1" thickBot="1" x14ac:dyDescent="0.3">
      <c r="A26" s="1"/>
      <c r="B26" s="5"/>
      <c r="C26" s="90" t="s">
        <v>32</v>
      </c>
      <c r="D26" s="19"/>
      <c r="E26" s="149" t="str">
        <f>+IF(Hoja1!K2&gt;=0.5,"Si","No")</f>
        <v>Si</v>
      </c>
      <c r="F26" s="20"/>
      <c r="G26" s="150">
        <f>+Hoja1!K2</f>
        <v>0.625</v>
      </c>
      <c r="H26" s="20"/>
      <c r="I26" s="323" t="s">
        <v>232</v>
      </c>
      <c r="J26" s="324"/>
      <c r="K26" s="324"/>
      <c r="L26" s="324"/>
      <c r="M26" s="325"/>
      <c r="N26" s="35"/>
      <c r="O26" s="36"/>
      <c r="P26" s="21"/>
      <c r="Q26" s="22"/>
    </row>
    <row r="27" spans="1:17" ht="27" thickBot="1" x14ac:dyDescent="0.45">
      <c r="A27" s="1"/>
      <c r="B27" s="5"/>
      <c r="C27" s="91"/>
      <c r="D27" s="23"/>
      <c r="E27" s="98"/>
      <c r="F27" s="18"/>
      <c r="G27" s="24"/>
      <c r="H27" s="18"/>
      <c r="I27" s="328"/>
      <c r="J27" s="328"/>
      <c r="K27" s="328"/>
      <c r="L27" s="328"/>
      <c r="M27" s="328"/>
      <c r="N27" s="37"/>
      <c r="O27" s="37"/>
      <c r="P27" s="8"/>
      <c r="Q27" s="1"/>
    </row>
    <row r="28" spans="1:17" ht="111.75" customHeight="1" thickBot="1" x14ac:dyDescent="0.3">
      <c r="A28" s="1"/>
      <c r="B28" s="5"/>
      <c r="C28" s="92" t="s">
        <v>135</v>
      </c>
      <c r="D28" s="19"/>
      <c r="E28" s="149" t="str">
        <f>+IF(Hoja1!K14&gt;=0.5,"Si","No")</f>
        <v>No</v>
      </c>
      <c r="F28" s="18"/>
      <c r="G28" s="150">
        <f>+Hoja1!K14</f>
        <v>0.3</v>
      </c>
      <c r="H28" s="18"/>
      <c r="I28" s="323" t="s">
        <v>233</v>
      </c>
      <c r="J28" s="324"/>
      <c r="K28" s="324"/>
      <c r="L28" s="324"/>
      <c r="M28" s="325"/>
      <c r="N28" s="35"/>
      <c r="O28" s="35"/>
      <c r="P28" s="8"/>
      <c r="Q28" s="1"/>
    </row>
    <row r="29" spans="1:17" ht="27" thickBot="1" x14ac:dyDescent="0.45">
      <c r="A29" s="1"/>
      <c r="B29" s="5"/>
      <c r="C29" s="91"/>
      <c r="D29" s="23"/>
      <c r="E29" s="98"/>
      <c r="F29" s="18"/>
      <c r="G29" s="24"/>
      <c r="H29" s="18"/>
      <c r="I29" s="328"/>
      <c r="J29" s="328"/>
      <c r="K29" s="328"/>
      <c r="L29" s="328"/>
      <c r="M29" s="328"/>
      <c r="N29" s="37"/>
      <c r="O29" s="37"/>
      <c r="P29" s="8"/>
      <c r="Q29" s="1"/>
    </row>
    <row r="30" spans="1:17" ht="123" customHeight="1" thickBot="1" x14ac:dyDescent="0.3">
      <c r="A30" s="1"/>
      <c r="B30" s="5"/>
      <c r="C30" s="93" t="s">
        <v>136</v>
      </c>
      <c r="D30" s="19"/>
      <c r="E30" s="149" t="str">
        <f>+IF(Hoja1!K24&gt;=0.5,"Si","No")</f>
        <v>No</v>
      </c>
      <c r="F30" s="18"/>
      <c r="G30" s="150">
        <f>+Hoja1!K24</f>
        <v>0.2</v>
      </c>
      <c r="H30" s="18"/>
      <c r="I30" s="323" t="s">
        <v>235</v>
      </c>
      <c r="J30" s="324"/>
      <c r="K30" s="324"/>
      <c r="L30" s="324"/>
      <c r="M30" s="325"/>
      <c r="N30" s="35"/>
      <c r="O30" s="35"/>
      <c r="P30" s="8"/>
      <c r="Q30" s="1"/>
    </row>
    <row r="31" spans="1:17" ht="27" thickBot="1" x14ac:dyDescent="0.45">
      <c r="A31" s="1"/>
      <c r="B31" s="5"/>
      <c r="C31" s="91"/>
      <c r="D31" s="23"/>
      <c r="E31" s="98"/>
      <c r="F31" s="18"/>
      <c r="G31" s="24"/>
      <c r="H31" s="18"/>
      <c r="I31" s="328"/>
      <c r="J31" s="328"/>
      <c r="K31" s="328"/>
      <c r="L31" s="328"/>
      <c r="M31" s="328"/>
      <c r="N31" s="37"/>
      <c r="O31" s="37"/>
      <c r="P31" s="8"/>
      <c r="Q31" s="1"/>
    </row>
    <row r="32" spans="1:17" ht="171" customHeight="1" thickBot="1" x14ac:dyDescent="0.3">
      <c r="A32" s="1"/>
      <c r="B32" s="5"/>
      <c r="C32" s="94" t="s">
        <v>87</v>
      </c>
      <c r="D32" s="19"/>
      <c r="E32" s="149" t="str">
        <f>+IF(Hoja1!K29&gt;=0.5,"Si","No")</f>
        <v>Si</v>
      </c>
      <c r="F32" s="18"/>
      <c r="G32" s="150">
        <f>+Hoja1!K29</f>
        <v>0.7142857142857143</v>
      </c>
      <c r="H32" s="18"/>
      <c r="I32" s="323" t="s">
        <v>236</v>
      </c>
      <c r="J32" s="324"/>
      <c r="K32" s="324"/>
      <c r="L32" s="324"/>
      <c r="M32" s="325"/>
      <c r="N32" s="35"/>
      <c r="O32" s="35"/>
      <c r="P32" s="8"/>
      <c r="Q32" s="1"/>
    </row>
    <row r="33" spans="1:17" ht="27" thickBot="1" x14ac:dyDescent="0.45">
      <c r="A33" s="1"/>
      <c r="B33" s="5"/>
      <c r="C33" s="91"/>
      <c r="D33" s="23"/>
      <c r="E33" s="98"/>
      <c r="F33" s="18"/>
      <c r="G33" s="24"/>
      <c r="H33" s="18"/>
      <c r="I33" s="328"/>
      <c r="J33" s="328"/>
      <c r="K33" s="328"/>
      <c r="L33" s="328"/>
      <c r="M33" s="328"/>
      <c r="N33" s="37"/>
      <c r="O33" s="37"/>
      <c r="P33" s="8"/>
      <c r="Q33" s="1"/>
    </row>
    <row r="34" spans="1:17" ht="164.25" customHeight="1" thickBot="1" x14ac:dyDescent="0.3">
      <c r="A34" s="1"/>
      <c r="B34" s="5"/>
      <c r="C34" s="95" t="s">
        <v>137</v>
      </c>
      <c r="D34" s="19"/>
      <c r="E34" s="97" t="str">
        <f>+IF(Hoja1!K36&gt;=0.5,"Si","No")</f>
        <v>No</v>
      </c>
      <c r="F34" s="18"/>
      <c r="G34" s="150">
        <f>+Hoja1!K36</f>
        <v>0.3</v>
      </c>
      <c r="H34" s="18"/>
      <c r="I34" s="323" t="s">
        <v>234</v>
      </c>
      <c r="J34" s="324"/>
      <c r="K34" s="324"/>
      <c r="L34" s="324"/>
      <c r="M34" s="325"/>
      <c r="N34" s="35"/>
      <c r="O34" s="35"/>
      <c r="P34" s="8"/>
      <c r="Q34" s="1"/>
    </row>
    <row r="35" spans="1:17" ht="15.75" x14ac:dyDescent="0.25">
      <c r="A35" s="1"/>
      <c r="B35" s="5"/>
      <c r="C35" s="25"/>
      <c r="D35" s="25"/>
      <c r="E35" s="15"/>
      <c r="F35" s="6"/>
      <c r="G35" s="6"/>
      <c r="H35" s="6"/>
      <c r="I35" s="6"/>
      <c r="J35" s="6"/>
      <c r="K35" s="6"/>
      <c r="L35" s="6"/>
      <c r="M35" s="26"/>
      <c r="N35" s="26"/>
      <c r="O35" s="26"/>
      <c r="P35" s="8"/>
      <c r="Q35" s="1"/>
    </row>
    <row r="36" spans="1:17" ht="15.75" x14ac:dyDescent="0.25">
      <c r="A36" s="1"/>
      <c r="B36" s="5"/>
      <c r="C36" s="27"/>
      <c r="D36" s="25"/>
      <c r="E36" s="15"/>
      <c r="F36" s="6"/>
      <c r="G36" s="6"/>
      <c r="H36" s="6"/>
      <c r="I36" s="6"/>
      <c r="J36" s="6"/>
      <c r="K36" s="6"/>
      <c r="L36" s="6"/>
      <c r="M36" s="26"/>
      <c r="N36" s="26"/>
      <c r="O36" s="26"/>
      <c r="P36" s="8"/>
      <c r="Q36" s="1"/>
    </row>
    <row r="37" spans="1:17" x14ac:dyDescent="0.25">
      <c r="A37" s="1"/>
      <c r="B37" s="5"/>
      <c r="C37" s="28"/>
      <c r="D37" s="6"/>
      <c r="E37" s="6"/>
      <c r="F37" s="6"/>
      <c r="G37" s="6"/>
      <c r="H37" s="6"/>
      <c r="I37" s="6"/>
      <c r="J37" s="6"/>
      <c r="K37" s="6"/>
      <c r="L37" s="6"/>
      <c r="M37" s="6"/>
      <c r="N37" s="6"/>
      <c r="O37" s="6"/>
      <c r="P37" s="8"/>
      <c r="Q37" s="1"/>
    </row>
    <row r="38" spans="1:17" ht="15.75" thickBot="1" x14ac:dyDescent="0.3">
      <c r="A38" s="1"/>
      <c r="B38" s="29"/>
      <c r="C38" s="30"/>
      <c r="D38" s="30"/>
      <c r="E38" s="30"/>
      <c r="F38" s="30"/>
      <c r="G38" s="30"/>
      <c r="H38" s="30"/>
      <c r="I38" s="30"/>
      <c r="J38" s="30"/>
      <c r="K38" s="30"/>
      <c r="L38" s="30"/>
      <c r="M38" s="30"/>
      <c r="N38" s="30"/>
      <c r="O38" s="30"/>
      <c r="P38" s="31"/>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I34:M34"/>
    <mergeCell ref="I30:M30"/>
    <mergeCell ref="I32:M32"/>
    <mergeCell ref="I24:M24"/>
    <mergeCell ref="I26:M26"/>
    <mergeCell ref="I28:M28"/>
    <mergeCell ref="I25:M25"/>
    <mergeCell ref="I27:M27"/>
    <mergeCell ref="I29:M29"/>
    <mergeCell ref="I31:M31"/>
    <mergeCell ref="I33:M33"/>
    <mergeCell ref="C21:D21"/>
    <mergeCell ref="C22:D22"/>
    <mergeCell ref="E4:E5"/>
    <mergeCell ref="F4:M5"/>
    <mergeCell ref="F6:M6"/>
    <mergeCell ref="I8:K8"/>
    <mergeCell ref="C18:M18"/>
    <mergeCell ref="C20:D20"/>
    <mergeCell ref="F20:M20"/>
    <mergeCell ref="F21:M21"/>
    <mergeCell ref="F22:M22"/>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xr:uid="{00000000-0002-0000-0300-000000000000}">
      <formula1>"Si, No"</formula1>
    </dataValidation>
    <dataValidation allowBlank="1" showInputMessage="1" showErrorMessage="1" prompt="Celda formulada, información proveniente de la pestaña de deficiencias." sqref="E24" xr:uid="{00000000-0002-0000-0300-000001000000}"/>
    <dataValidation type="list" allowBlank="1" showInputMessage="1" showErrorMessage="1" sqref="E20" xr:uid="{00000000-0002-0000-0300-00000200000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54" t="s">
        <v>25</v>
      </c>
      <c r="B1" s="154" t="s">
        <v>6</v>
      </c>
      <c r="C1" s="155" t="s">
        <v>8</v>
      </c>
      <c r="D1" s="156" t="s">
        <v>26</v>
      </c>
      <c r="E1" s="156" t="s">
        <v>27</v>
      </c>
      <c r="F1" s="156" t="s">
        <v>138</v>
      </c>
      <c r="G1" s="157" t="s">
        <v>139</v>
      </c>
      <c r="H1" s="157" t="s">
        <v>140</v>
      </c>
      <c r="I1" s="157" t="s">
        <v>119</v>
      </c>
      <c r="J1" s="157" t="s">
        <v>141</v>
      </c>
      <c r="K1" s="157" t="s">
        <v>142</v>
      </c>
    </row>
    <row r="2" spans="1:11" x14ac:dyDescent="0.25">
      <c r="A2" s="158" t="s">
        <v>143</v>
      </c>
      <c r="B2" s="158" t="str">
        <f>+VLOOKUP(A2,'Estado SCI'!$A$16:$C$59,3,0)</f>
        <v>AMBIENTE DE CONTROL</v>
      </c>
      <c r="C2" s="158" t="s">
        <v>33</v>
      </c>
      <c r="D2" s="158" t="s">
        <v>34</v>
      </c>
      <c r="E2" s="158" t="s">
        <v>35</v>
      </c>
      <c r="F2" s="158" t="str">
        <f>+VLOOKUP(A2,'Estado SCI'!$A$16:$I$59,9,0)</f>
        <v>Deficiencia de control</v>
      </c>
      <c r="G2" s="158">
        <f>+VLOOKUP(A2,'Estado SCI'!$A$16:$L$59,12,0)</f>
        <v>0.123</v>
      </c>
      <c r="H2" s="158">
        <f t="shared" ref="H2:H45" si="0">+_xlfn.RANK.EQ(G2,$G$2:$G$45,1)</f>
        <v>1</v>
      </c>
      <c r="I2" s="158" t="str">
        <f>+IF(VLOOKUP(A2,'Estado SCI'!$A$16:$G$59,7,0)="","",VLOOKUP(A2,'Estado SCI'!$A$16:$G$59,7,0))</f>
        <v>No</v>
      </c>
      <c r="J2" s="159">
        <f>+IF(I2="Si",1,IF(I2="En proceso",0.5,0))</f>
        <v>0</v>
      </c>
      <c r="K2" s="160">
        <f t="shared" ref="K2:K45" si="1">+AVERAGEIF($B$2:$B$45,B2,$J$2:$J$45)</f>
        <v>0.625</v>
      </c>
    </row>
    <row r="3" spans="1:11" x14ac:dyDescent="0.25">
      <c r="A3" s="158" t="s">
        <v>144</v>
      </c>
      <c r="B3" s="158" t="s">
        <v>32</v>
      </c>
      <c r="C3" s="158" t="s">
        <v>33</v>
      </c>
      <c r="D3" s="158" t="s">
        <v>37</v>
      </c>
      <c r="E3" s="158" t="s">
        <v>38</v>
      </c>
      <c r="F3" s="158" t="str">
        <f>+VLOOKUP(A3,'Estado SCI'!$A$16:$I$59,9,0)</f>
        <v>Oportunidad de mejora</v>
      </c>
      <c r="G3" s="158">
        <f>+VLOOKUP(A3,'Estado SCI'!$A$16:$L$59,12,0)</f>
        <v>10.1234</v>
      </c>
      <c r="H3" s="158">
        <f t="shared" si="0"/>
        <v>5</v>
      </c>
      <c r="I3" s="158" t="str">
        <f>+IF(VLOOKUP(A3,'Estado SCI'!$A$16:$G$59,7,0)="","",VLOOKUP(A3,'Estado SCI'!$A$16:$G$59,7,0))</f>
        <v>En proceso</v>
      </c>
      <c r="J3" s="159">
        <f t="shared" ref="J3:J45" si="2">+IF(I3="Si",1,IF(I3="En proceso",0.5,0))</f>
        <v>0.5</v>
      </c>
      <c r="K3" s="160">
        <f t="shared" si="1"/>
        <v>0.625</v>
      </c>
    </row>
    <row r="4" spans="1:11" x14ac:dyDescent="0.25">
      <c r="A4" s="158" t="s">
        <v>145</v>
      </c>
      <c r="B4" s="158" t="s">
        <v>32</v>
      </c>
      <c r="C4" s="158" t="s">
        <v>33</v>
      </c>
      <c r="D4" s="158" t="s">
        <v>40</v>
      </c>
      <c r="E4" s="158" t="s">
        <v>41</v>
      </c>
      <c r="F4" s="158" t="str">
        <f>+VLOOKUP(A4,'Estado SCI'!$A$16:$I$59,9,0)</f>
        <v>Mantenimiento del control</v>
      </c>
      <c r="G4" s="158">
        <f>+VLOOKUP(A4,'Estado SCI'!$A$16:$L$59,12,0)</f>
        <v>20.123449999999998</v>
      </c>
      <c r="H4" s="158">
        <f t="shared" si="0"/>
        <v>6</v>
      </c>
      <c r="I4" s="158" t="str">
        <f>+IF(VLOOKUP(A4,'Estado SCI'!$A$16:$G$59,7,0)="","",VLOOKUP(A4,'Estado SCI'!$A$16:$G$59,7,0))</f>
        <v>Si</v>
      </c>
      <c r="J4" s="159">
        <f t="shared" si="2"/>
        <v>1</v>
      </c>
      <c r="K4" s="160">
        <f t="shared" si="1"/>
        <v>0.625</v>
      </c>
    </row>
    <row r="5" spans="1:11" x14ac:dyDescent="0.25">
      <c r="A5" s="158" t="s">
        <v>146</v>
      </c>
      <c r="B5" s="158" t="s">
        <v>32</v>
      </c>
      <c r="C5" s="158" t="s">
        <v>33</v>
      </c>
      <c r="D5" s="158" t="s">
        <v>42</v>
      </c>
      <c r="E5" s="158" t="s">
        <v>43</v>
      </c>
      <c r="F5" s="158" t="str">
        <f>+VLOOKUP(A5,'Estado SCI'!$A$16:$I$59,9,0)</f>
        <v>Mantenimiento del control</v>
      </c>
      <c r="G5" s="158">
        <f>+VLOOKUP(A5,'Estado SCI'!$A$16:$L$59,12,0)</f>
        <v>20.123456000000001</v>
      </c>
      <c r="H5" s="158">
        <f t="shared" si="0"/>
        <v>7</v>
      </c>
      <c r="I5" s="158" t="str">
        <f>+IF(VLOOKUP(A5,'Estado SCI'!$A$16:$G$59,7,0)="","",VLOOKUP(A5,'Estado SCI'!$A$16:$G$59,7,0))</f>
        <v>Si</v>
      </c>
      <c r="J5" s="159">
        <f t="shared" si="2"/>
        <v>1</v>
      </c>
      <c r="K5" s="160">
        <f t="shared" si="1"/>
        <v>0.625</v>
      </c>
    </row>
    <row r="6" spans="1:11" x14ac:dyDescent="0.25">
      <c r="A6" s="158" t="s">
        <v>147</v>
      </c>
      <c r="B6" s="158" t="s">
        <v>32</v>
      </c>
      <c r="C6" s="158" t="s">
        <v>33</v>
      </c>
      <c r="D6" s="158" t="s">
        <v>44</v>
      </c>
      <c r="E6" s="158" t="s">
        <v>45</v>
      </c>
      <c r="F6" s="158" t="str">
        <f>+VLOOKUP(A6,'Estado SCI'!$A$16:$I$59,9,0)</f>
        <v>Mantenimiento del control</v>
      </c>
      <c r="G6" s="158">
        <f>+VLOOKUP(A6,'Estado SCI'!$A$16:$L$59,12,0)</f>
        <v>20.123456780000001</v>
      </c>
      <c r="H6" s="158">
        <f t="shared" si="0"/>
        <v>8</v>
      </c>
      <c r="I6" s="158" t="str">
        <f>+IF(VLOOKUP(A6,'Estado SCI'!$A$16:$G$59,7,0)="","",VLOOKUP(A6,'Estado SCI'!$A$16:$G$59,7,0))</f>
        <v>Si</v>
      </c>
      <c r="J6" s="159">
        <f t="shared" si="2"/>
        <v>1</v>
      </c>
      <c r="K6" s="160">
        <f t="shared" si="1"/>
        <v>0.625</v>
      </c>
    </row>
    <row r="7" spans="1:11" x14ac:dyDescent="0.25">
      <c r="A7" s="158" t="s">
        <v>148</v>
      </c>
      <c r="B7" s="158" t="s">
        <v>32</v>
      </c>
      <c r="C7" s="158" t="s">
        <v>33</v>
      </c>
      <c r="D7" s="158" t="s">
        <v>46</v>
      </c>
      <c r="E7" s="158" t="s">
        <v>47</v>
      </c>
      <c r="F7" s="158" t="str">
        <f>+VLOOKUP(A7,'Estado SCI'!$A$16:$I$59,9,0)</f>
        <v>Deficiencia de control</v>
      </c>
      <c r="G7" s="158">
        <f>+VLOOKUP(A7,'Estado SCI'!$A$16:$L$59,12,0)</f>
        <v>0.123456789</v>
      </c>
      <c r="H7" s="158">
        <f t="shared" si="0"/>
        <v>2</v>
      </c>
      <c r="I7" s="158" t="str">
        <f>+IF(VLOOKUP(A7,'Estado SCI'!$A$16:$G$59,7,0)="","",VLOOKUP(A7,'Estado SCI'!$A$16:$G$59,7,0))</f>
        <v>No</v>
      </c>
      <c r="J7" s="159">
        <f t="shared" si="2"/>
        <v>0</v>
      </c>
      <c r="K7" s="160">
        <f t="shared" si="1"/>
        <v>0.625</v>
      </c>
    </row>
    <row r="8" spans="1:11" x14ac:dyDescent="0.25">
      <c r="A8" s="158" t="s">
        <v>149</v>
      </c>
      <c r="B8" s="158" t="s">
        <v>32</v>
      </c>
      <c r="C8" s="158" t="s">
        <v>33</v>
      </c>
      <c r="D8" s="158" t="s">
        <v>48</v>
      </c>
      <c r="E8" s="158" t="s">
        <v>49</v>
      </c>
      <c r="F8" s="158" t="str">
        <f>+VLOOKUP(A8,'Estado SCI'!$A$16:$I$59,9,0)</f>
        <v>Mantenimiento del control</v>
      </c>
      <c r="G8" s="158">
        <f>+VLOOKUP(A8,'Estado SCI'!$A$16:$L$59,12,0)</f>
        <v>20.1234567891</v>
      </c>
      <c r="H8" s="158">
        <f t="shared" si="0"/>
        <v>9</v>
      </c>
      <c r="I8" s="158" t="str">
        <f>+IF(VLOOKUP(A8,'Estado SCI'!$A$16:$G$59,7,0)="","",VLOOKUP(A8,'Estado SCI'!$A$16:$G$59,7,0))</f>
        <v>Si</v>
      </c>
      <c r="J8" s="159">
        <f t="shared" si="2"/>
        <v>1</v>
      </c>
      <c r="K8" s="160">
        <f t="shared" si="1"/>
        <v>0.625</v>
      </c>
    </row>
    <row r="9" spans="1:11" x14ac:dyDescent="0.25">
      <c r="A9" s="158" t="s">
        <v>150</v>
      </c>
      <c r="B9" s="158" t="s">
        <v>32</v>
      </c>
      <c r="C9" s="158" t="s">
        <v>33</v>
      </c>
      <c r="D9" s="158" t="s">
        <v>50</v>
      </c>
      <c r="E9" s="158" t="s">
        <v>51</v>
      </c>
      <c r="F9" s="158" t="str">
        <f>+VLOOKUP(A9,'Estado SCI'!$A$16:$I$59,9,0)</f>
        <v>Deficiencia de control</v>
      </c>
      <c r="G9" s="158">
        <f>+VLOOKUP(A9,'Estado SCI'!$A$16:$L$59,12,0)</f>
        <v>0.12345678911999999</v>
      </c>
      <c r="H9" s="158">
        <f t="shared" si="0"/>
        <v>3</v>
      </c>
      <c r="I9" s="158" t="str">
        <f>+IF(VLOOKUP(A9,'Estado SCI'!$A$16:$G$59,7,0)="","",VLOOKUP(A9,'Estado SCI'!$A$16:$G$59,7,0))</f>
        <v>No</v>
      </c>
      <c r="J9" s="159">
        <f t="shared" si="2"/>
        <v>0</v>
      </c>
      <c r="K9" s="160">
        <f t="shared" si="1"/>
        <v>0.625</v>
      </c>
    </row>
    <row r="10" spans="1:11" x14ac:dyDescent="0.25">
      <c r="A10" s="158" t="s">
        <v>151</v>
      </c>
      <c r="B10" s="158" t="s">
        <v>32</v>
      </c>
      <c r="C10" s="158" t="s">
        <v>33</v>
      </c>
      <c r="D10" s="158" t="s">
        <v>52</v>
      </c>
      <c r="E10" s="158" t="s">
        <v>53</v>
      </c>
      <c r="F10" s="158" t="str">
        <f>+VLOOKUP(A10,'Estado SCI'!$A$16:$I$59,9,0)</f>
        <v>Mantenimiento del control</v>
      </c>
      <c r="G10" s="158">
        <f>+VLOOKUP(A10,'Estado SCI'!$A$16:$L$59,12,0)</f>
        <v>20.123456789123001</v>
      </c>
      <c r="H10" s="158">
        <f t="shared" si="0"/>
        <v>10</v>
      </c>
      <c r="I10" s="158" t="str">
        <f>+IF(VLOOKUP(A10,'Estado SCI'!$A$16:$G$59,7,0)="","",VLOOKUP(A10,'Estado SCI'!$A$16:$G$59,7,0))</f>
        <v>Si</v>
      </c>
      <c r="J10" s="159">
        <f t="shared" si="2"/>
        <v>1</v>
      </c>
      <c r="K10" s="160">
        <f t="shared" si="1"/>
        <v>0.625</v>
      </c>
    </row>
    <row r="11" spans="1:11" x14ac:dyDescent="0.25">
      <c r="A11" s="158" t="s">
        <v>152</v>
      </c>
      <c r="B11" s="158" t="s">
        <v>32</v>
      </c>
      <c r="C11" s="158" t="s">
        <v>33</v>
      </c>
      <c r="D11" s="158" t="s">
        <v>54</v>
      </c>
      <c r="E11" s="158" t="s">
        <v>55</v>
      </c>
      <c r="F11" s="158" t="str">
        <f>+VLOOKUP(A11,'Estado SCI'!$A$16:$I$59,9,0)</f>
        <v>Deficiencia de control</v>
      </c>
      <c r="G11" s="158">
        <f>+VLOOKUP(A11,'Estado SCI'!$A$16:$L$59,12,0)</f>
        <v>0.1234567891234</v>
      </c>
      <c r="H11" s="158">
        <f t="shared" si="0"/>
        <v>4</v>
      </c>
      <c r="I11" s="158" t="str">
        <f>+IF(VLOOKUP(A11,'Estado SCI'!$A$16:$G$59,7,0)="","",VLOOKUP(A11,'Estado SCI'!$A$16:$G$59,7,0))</f>
        <v>No</v>
      </c>
      <c r="J11" s="159">
        <f t="shared" si="2"/>
        <v>0</v>
      </c>
      <c r="K11" s="160">
        <f t="shared" si="1"/>
        <v>0.625</v>
      </c>
    </row>
    <row r="12" spans="1:11" x14ac:dyDescent="0.25">
      <c r="A12" s="158" t="s">
        <v>153</v>
      </c>
      <c r="B12" s="158" t="s">
        <v>32</v>
      </c>
      <c r="C12" s="158" t="s">
        <v>33</v>
      </c>
      <c r="D12" s="158" t="s">
        <v>56</v>
      </c>
      <c r="E12" s="158" t="s">
        <v>57</v>
      </c>
      <c r="F12" s="158" t="str">
        <f>+VLOOKUP(A12,'Estado SCI'!$A$16:$I$59,9,0)</f>
        <v>Mantenimiento del control</v>
      </c>
      <c r="G12" s="158">
        <f>+VLOOKUP(A12,'Estado SCI'!$A$16:$L$59,12,0)</f>
        <v>20.123456789123448</v>
      </c>
      <c r="H12" s="158">
        <f t="shared" si="0"/>
        <v>11</v>
      </c>
      <c r="I12" s="158" t="str">
        <f>+IF(VLOOKUP(A12,'Estado SCI'!$A$16:$G$59,7,0)="","",VLOOKUP(A12,'Estado SCI'!$A$16:$G$59,7,0))</f>
        <v>Si</v>
      </c>
      <c r="J12" s="159">
        <f t="shared" si="2"/>
        <v>1</v>
      </c>
      <c r="K12" s="160">
        <f t="shared" si="1"/>
        <v>0.625</v>
      </c>
    </row>
    <row r="13" spans="1:11" x14ac:dyDescent="0.25">
      <c r="A13" s="158" t="s">
        <v>154</v>
      </c>
      <c r="B13" s="158" t="s">
        <v>32</v>
      </c>
      <c r="C13" s="158" t="s">
        <v>33</v>
      </c>
      <c r="D13" s="158" t="s">
        <v>58</v>
      </c>
      <c r="E13" s="158" t="s">
        <v>59</v>
      </c>
      <c r="F13" s="158" t="str">
        <f>+VLOOKUP(A13,'Estado SCI'!$A$16:$I$59,9,0)</f>
        <v>Mantenimiento del control</v>
      </c>
      <c r="G13" s="158">
        <f>+VLOOKUP(A13,'Estado SCI'!$A$16:$L$59,12,0)</f>
        <v>20.123456789123455</v>
      </c>
      <c r="H13" s="158">
        <f t="shared" si="0"/>
        <v>12</v>
      </c>
      <c r="I13" s="158" t="str">
        <f>+IF(VLOOKUP(A13,'Estado SCI'!$A$16:$G$59,7,0)="","",VLOOKUP(A13,'Estado SCI'!$A$16:$G$59,7,0))</f>
        <v>Si</v>
      </c>
      <c r="J13" s="159">
        <f t="shared" si="2"/>
        <v>1</v>
      </c>
      <c r="K13" s="160">
        <f t="shared" si="1"/>
        <v>0.625</v>
      </c>
    </row>
    <row r="14" spans="1:11" ht="15" customHeight="1" x14ac:dyDescent="0.25">
      <c r="A14" s="158" t="s">
        <v>155</v>
      </c>
      <c r="B14" s="158" t="str">
        <f>+VLOOKUP(A14,'Estado SCI'!$A$16:$C$59,3,0)</f>
        <v>EVALUACION DEL RIESGO</v>
      </c>
      <c r="C14" s="158" t="s">
        <v>62</v>
      </c>
      <c r="D14" s="158" t="s">
        <v>34</v>
      </c>
      <c r="E14" s="158" t="s">
        <v>156</v>
      </c>
      <c r="F14" s="158" t="str">
        <f>+VLOOKUP(A14,'Estado SCI'!$A$16:$I$59,9,0)</f>
        <v>Mantenimiento del control</v>
      </c>
      <c r="G14" s="158">
        <f>+VLOOKUP(A14,'Estado SCI'!$A$16:$L$59,12,0)</f>
        <v>40.229999999999997</v>
      </c>
      <c r="H14" s="158">
        <f t="shared" si="0"/>
        <v>20</v>
      </c>
      <c r="I14" s="158" t="str">
        <f>+IF(VLOOKUP(A14,'Estado SCI'!$A$16:$G$59,7,0)="","",VLOOKUP(A14,'Estado SCI'!$A$16:$G$59,7,0))</f>
        <v>Si</v>
      </c>
      <c r="J14" s="159">
        <f t="shared" si="2"/>
        <v>1</v>
      </c>
      <c r="K14" s="160">
        <f t="shared" si="1"/>
        <v>0.3</v>
      </c>
    </row>
    <row r="15" spans="1:11" ht="15" customHeight="1" x14ac:dyDescent="0.25">
      <c r="A15" s="158" t="s">
        <v>157</v>
      </c>
      <c r="B15" s="158" t="s">
        <v>61</v>
      </c>
      <c r="C15" s="158" t="s">
        <v>62</v>
      </c>
      <c r="D15" s="158" t="s">
        <v>37</v>
      </c>
      <c r="E15" s="158" t="s">
        <v>158</v>
      </c>
      <c r="F15" s="158" t="str">
        <f>+VLOOKUP(A15,'Estado SCI'!$A$16:$I$59,9,0)</f>
        <v>Mantenimiento del control</v>
      </c>
      <c r="G15" s="158">
        <f>+VLOOKUP(A15,'Estado SCI'!$A$16:$L$59,12,0)</f>
        <v>40.234000000000002</v>
      </c>
      <c r="H15" s="158">
        <f t="shared" si="0"/>
        <v>21</v>
      </c>
      <c r="I15" s="158" t="str">
        <f>+IF(VLOOKUP(A15,'Estado SCI'!$A$16:$G$59,7,0)="","",VLOOKUP(A15,'Estado SCI'!$A$16:$G$59,7,0))</f>
        <v>Si</v>
      </c>
      <c r="J15" s="159">
        <f t="shared" si="2"/>
        <v>1</v>
      </c>
      <c r="K15" s="160">
        <f t="shared" si="1"/>
        <v>0.3</v>
      </c>
    </row>
    <row r="16" spans="1:11" ht="15" customHeight="1" x14ac:dyDescent="0.25">
      <c r="A16" s="158" t="s">
        <v>159</v>
      </c>
      <c r="B16" s="158" t="s">
        <v>61</v>
      </c>
      <c r="C16" s="158" t="s">
        <v>62</v>
      </c>
      <c r="D16" s="158" t="s">
        <v>40</v>
      </c>
      <c r="E16" s="158" t="s">
        <v>160</v>
      </c>
      <c r="F16" s="158" t="str">
        <f>+VLOOKUP(A16,'Estado SCI'!$A$16:$I$59,9,0)</f>
        <v>Deficiencia de control</v>
      </c>
      <c r="G16" s="158">
        <f>+VLOOKUP(A16,'Estado SCI'!$A$16:$L$59,12,0)</f>
        <v>20.234500000000001</v>
      </c>
      <c r="H16" s="158">
        <f t="shared" si="0"/>
        <v>13</v>
      </c>
      <c r="I16" s="158" t="str">
        <f>+IF(VLOOKUP(A16,'Estado SCI'!$A$16:$G$59,7,0)="","",VLOOKUP(A16,'Estado SCI'!$A$16:$G$59,7,0))</f>
        <v>No</v>
      </c>
      <c r="J16" s="159">
        <f t="shared" si="2"/>
        <v>0</v>
      </c>
      <c r="K16" s="160">
        <f t="shared" si="1"/>
        <v>0.3</v>
      </c>
    </row>
    <row r="17" spans="1:11" ht="15.75" customHeight="1" x14ac:dyDescent="0.25">
      <c r="A17" s="158" t="s">
        <v>161</v>
      </c>
      <c r="B17" s="158" t="s">
        <v>61</v>
      </c>
      <c r="C17" s="158" t="s">
        <v>62</v>
      </c>
      <c r="D17" s="158" t="s">
        <v>42</v>
      </c>
      <c r="E17" s="158" t="s">
        <v>66</v>
      </c>
      <c r="F17" s="158" t="str">
        <f>+VLOOKUP(A17,'Estado SCI'!$A$16:$I$59,9,0)</f>
        <v>Deficiencia de control</v>
      </c>
      <c r="G17" s="158">
        <f>+VLOOKUP(A17,'Estado SCI'!$A$16:$L$59,12,0)</f>
        <v>20.234559999999998</v>
      </c>
      <c r="H17" s="158">
        <f t="shared" si="0"/>
        <v>14</v>
      </c>
      <c r="I17" s="158" t="str">
        <f>+IF(VLOOKUP(A17,'Estado SCI'!$A$16:$G$59,7,0)="","",VLOOKUP(A17,'Estado SCI'!$A$16:$G$59,7,0))</f>
        <v>No</v>
      </c>
      <c r="J17" s="159">
        <f t="shared" si="2"/>
        <v>0</v>
      </c>
      <c r="K17" s="160">
        <f t="shared" si="1"/>
        <v>0.3</v>
      </c>
    </row>
    <row r="18" spans="1:11" ht="15" customHeight="1" x14ac:dyDescent="0.25">
      <c r="A18" s="158" t="s">
        <v>162</v>
      </c>
      <c r="B18" s="158" t="s">
        <v>61</v>
      </c>
      <c r="C18" s="158" t="s">
        <v>80</v>
      </c>
      <c r="D18" s="158" t="s">
        <v>34</v>
      </c>
      <c r="E18" s="158" t="s">
        <v>69</v>
      </c>
      <c r="F18" s="158" t="str">
        <f>+VLOOKUP(A18,'Estado SCI'!$A$16:$I$59,9,0)</f>
        <v>Deficiencia de control</v>
      </c>
      <c r="G18" s="158">
        <f>+VLOOKUP(A18,'Estado SCI'!$A$16:$L$59,12,0)</f>
        <v>20.234566999999998</v>
      </c>
      <c r="H18" s="158">
        <f t="shared" si="0"/>
        <v>15</v>
      </c>
      <c r="I18" s="158" t="str">
        <f>+IF(VLOOKUP(A18,'Estado SCI'!$A$16:$G$59,7,0)="","",VLOOKUP(A18,'Estado SCI'!$A$16:$G$59,7,0))</f>
        <v>No</v>
      </c>
      <c r="J18" s="159">
        <f t="shared" si="2"/>
        <v>0</v>
      </c>
      <c r="K18" s="160">
        <f t="shared" si="1"/>
        <v>0.3</v>
      </c>
    </row>
    <row r="19" spans="1:11" ht="15" customHeight="1" x14ac:dyDescent="0.25">
      <c r="A19" s="158" t="s">
        <v>163</v>
      </c>
      <c r="B19" s="158" t="s">
        <v>61</v>
      </c>
      <c r="C19" s="158" t="s">
        <v>80</v>
      </c>
      <c r="D19" s="158" t="s">
        <v>37</v>
      </c>
      <c r="E19" s="158" t="s">
        <v>70</v>
      </c>
      <c r="F19" s="158" t="str">
        <f>+VLOOKUP(A19,'Estado SCI'!$A$16:$I$59,9,0)</f>
        <v>Deficiencia de control</v>
      </c>
      <c r="G19" s="158">
        <f>+VLOOKUP(A19,'Estado SCI'!$A$16:$L$59,12,0)</f>
        <v>20.234567800000001</v>
      </c>
      <c r="H19" s="158">
        <f t="shared" si="0"/>
        <v>16</v>
      </c>
      <c r="I19" s="158" t="str">
        <f>+IF(VLOOKUP(A19,'Estado SCI'!$A$16:$G$59,7,0)="","",VLOOKUP(A19,'Estado SCI'!$A$16:$G$59,7,0))</f>
        <v>No</v>
      </c>
      <c r="J19" s="159">
        <f t="shared" si="2"/>
        <v>0</v>
      </c>
      <c r="K19" s="160">
        <f t="shared" si="1"/>
        <v>0.3</v>
      </c>
    </row>
    <row r="20" spans="1:11" ht="15" customHeight="1" x14ac:dyDescent="0.25">
      <c r="A20" s="158" t="s">
        <v>164</v>
      </c>
      <c r="B20" s="158" t="s">
        <v>61</v>
      </c>
      <c r="C20" s="158" t="s">
        <v>80</v>
      </c>
      <c r="D20" s="158" t="s">
        <v>40</v>
      </c>
      <c r="E20" s="158" t="s">
        <v>71</v>
      </c>
      <c r="F20" s="158" t="str">
        <f>+VLOOKUP(A20,'Estado SCI'!$A$16:$I$59,9,0)</f>
        <v>Deficiencia de control</v>
      </c>
      <c r="G20" s="158">
        <f>+VLOOKUP(A20,'Estado SCI'!$A$16:$L$59,12,0)</f>
        <v>20.234567890000001</v>
      </c>
      <c r="H20" s="158">
        <f t="shared" si="0"/>
        <v>17</v>
      </c>
      <c r="I20" s="158" t="str">
        <f>+IF(VLOOKUP(A20,'Estado SCI'!$A$16:$G$59,7,0)="","",VLOOKUP(A20,'Estado SCI'!$A$16:$G$59,7,0))</f>
        <v>No</v>
      </c>
      <c r="J20" s="159">
        <f t="shared" si="2"/>
        <v>0</v>
      </c>
      <c r="K20" s="160">
        <f t="shared" si="1"/>
        <v>0.3</v>
      </c>
    </row>
    <row r="21" spans="1:11" ht="15.75" customHeight="1" x14ac:dyDescent="0.25">
      <c r="A21" s="158" t="s">
        <v>165</v>
      </c>
      <c r="B21" s="158" t="s">
        <v>61</v>
      </c>
      <c r="C21" s="158" t="s">
        <v>80</v>
      </c>
      <c r="D21" s="158" t="s">
        <v>34</v>
      </c>
      <c r="E21" s="158" t="s">
        <v>74</v>
      </c>
      <c r="F21" s="158" t="str">
        <f>+VLOOKUP(A21,'Estado SCI'!$A$16:$I$59,9,0)</f>
        <v>Deficiencia de control</v>
      </c>
      <c r="G21" s="158">
        <f>+VLOOKUP(A21,'Estado SCI'!$A$16:$L$59,12,0)</f>
        <v>20.234567891200001</v>
      </c>
      <c r="H21" s="158">
        <f t="shared" si="0"/>
        <v>18</v>
      </c>
      <c r="I21" s="158" t="str">
        <f>+IF(VLOOKUP(A21,'Estado SCI'!$A$16:$G$59,7,0)="","",VLOOKUP(A21,'Estado SCI'!$A$16:$G$59,7,0))</f>
        <v>No</v>
      </c>
      <c r="J21" s="159">
        <f t="shared" si="2"/>
        <v>0</v>
      </c>
      <c r="K21" s="160">
        <f t="shared" si="1"/>
        <v>0.3</v>
      </c>
    </row>
    <row r="22" spans="1:11" ht="15" customHeight="1" x14ac:dyDescent="0.25">
      <c r="A22" s="158" t="s">
        <v>166</v>
      </c>
      <c r="B22" s="158" t="s">
        <v>61</v>
      </c>
      <c r="C22" s="158" t="s">
        <v>88</v>
      </c>
      <c r="D22" s="158" t="s">
        <v>37</v>
      </c>
      <c r="E22" s="158" t="s">
        <v>75</v>
      </c>
      <c r="F22" s="158" t="str">
        <f>+VLOOKUP(A22,'Estado SCI'!$A$16:$I$59,9,0)</f>
        <v>Deficiencia de control</v>
      </c>
      <c r="G22" s="158">
        <f>+VLOOKUP(A22,'Estado SCI'!$A$16:$L$59,12,0)</f>
        <v>20.23456789123</v>
      </c>
      <c r="H22" s="158">
        <f t="shared" si="0"/>
        <v>19</v>
      </c>
      <c r="I22" s="158" t="str">
        <f>+IF(VLOOKUP(A22,'Estado SCI'!$A$16:$G$59,7,0)="","",VLOOKUP(A22,'Estado SCI'!$A$16:$G$59,7,0))</f>
        <v>No</v>
      </c>
      <c r="J22" s="159">
        <f t="shared" si="2"/>
        <v>0</v>
      </c>
      <c r="K22" s="160">
        <f t="shared" si="1"/>
        <v>0.3</v>
      </c>
    </row>
    <row r="23" spans="1:11" ht="15" customHeight="1" x14ac:dyDescent="0.25">
      <c r="A23" s="158" t="s">
        <v>167</v>
      </c>
      <c r="B23" s="158" t="s">
        <v>61</v>
      </c>
      <c r="C23" s="158" t="s">
        <v>88</v>
      </c>
      <c r="D23" s="158" t="s">
        <v>40</v>
      </c>
      <c r="E23" s="158" t="s">
        <v>77</v>
      </c>
      <c r="F23" s="158" t="str">
        <f>+VLOOKUP(A23,'Estado SCI'!$A$16:$I$59,9,0)</f>
        <v>Mantenimiento del control</v>
      </c>
      <c r="G23" s="158">
        <f>+VLOOKUP(A23,'Estado SCI'!$A$16:$L$59,12,0)</f>
        <v>40.234567891234001</v>
      </c>
      <c r="H23" s="158">
        <f t="shared" si="0"/>
        <v>22</v>
      </c>
      <c r="I23" s="158" t="str">
        <f>+IF(VLOOKUP(A23,'Estado SCI'!$A$16:$G$59,7,0)="","",VLOOKUP(A23,'Estado SCI'!$A$16:$G$59,7,0))</f>
        <v>Si</v>
      </c>
      <c r="J23" s="159">
        <f t="shared" si="2"/>
        <v>1</v>
      </c>
      <c r="K23" s="160">
        <f t="shared" si="1"/>
        <v>0.3</v>
      </c>
    </row>
    <row r="24" spans="1:11" ht="15" customHeight="1" x14ac:dyDescent="0.25">
      <c r="A24" s="158" t="s">
        <v>168</v>
      </c>
      <c r="B24" s="158" t="str">
        <f>+VLOOKUP(A24,'Estado SCI'!$A$16:$C$59,3,0)</f>
        <v>ACTIVIDADES DE CONTROL</v>
      </c>
      <c r="C24" s="158" t="s">
        <v>88</v>
      </c>
      <c r="D24" s="158" t="s">
        <v>34</v>
      </c>
      <c r="E24" s="158" t="s">
        <v>81</v>
      </c>
      <c r="F24" s="158" t="str">
        <f>+VLOOKUP(A24,'Estado SCI'!$A$16:$I$59,9,0)</f>
        <v>Deficiencia de control</v>
      </c>
      <c r="G24" s="158">
        <f>+VLOOKUP(A24,'Estado SCI'!$A$16:$L$59,12,0)</f>
        <v>40.31</v>
      </c>
      <c r="H24" s="158">
        <f t="shared" si="0"/>
        <v>23</v>
      </c>
      <c r="I24" s="158" t="str">
        <f>+IF(VLOOKUP(A24,'Estado SCI'!$A$16:$G$59,7,0)="","",VLOOKUP(A24,'Estado SCI'!$A$16:$G$59,7,0))</f>
        <v>No</v>
      </c>
      <c r="J24" s="159">
        <f t="shared" si="2"/>
        <v>0</v>
      </c>
      <c r="K24" s="160">
        <f t="shared" si="1"/>
        <v>0.2</v>
      </c>
    </row>
    <row r="25" spans="1:11" ht="15" customHeight="1" x14ac:dyDescent="0.25">
      <c r="A25" s="158" t="s">
        <v>169</v>
      </c>
      <c r="B25" s="158" t="s">
        <v>79</v>
      </c>
      <c r="C25" s="158" t="s">
        <v>88</v>
      </c>
      <c r="D25" s="158" t="s">
        <v>37</v>
      </c>
      <c r="E25" s="158" t="s">
        <v>82</v>
      </c>
      <c r="F25" s="158" t="str">
        <f>+VLOOKUP(A25,'Estado SCI'!$A$16:$I$59,9,0)</f>
        <v>Deficiencia de control</v>
      </c>
      <c r="G25" s="158">
        <f>+VLOOKUP(A25,'Estado SCI'!$A$16:$L$59,12,0)</f>
        <v>40.323</v>
      </c>
      <c r="H25" s="158">
        <f t="shared" si="0"/>
        <v>24</v>
      </c>
      <c r="I25" s="158" t="str">
        <f>+IF(VLOOKUP(A25,'Estado SCI'!$A$16:$G$59,7,0)="","",VLOOKUP(A25,'Estado SCI'!$A$16:$G$59,7,0))</f>
        <v>No</v>
      </c>
      <c r="J25" s="159">
        <f t="shared" si="2"/>
        <v>0</v>
      </c>
      <c r="K25" s="160">
        <f t="shared" si="1"/>
        <v>0.2</v>
      </c>
    </row>
    <row r="26" spans="1:11" ht="15" customHeight="1" x14ac:dyDescent="0.25">
      <c r="A26" s="158" t="s">
        <v>170</v>
      </c>
      <c r="B26" s="158" t="s">
        <v>79</v>
      </c>
      <c r="C26" s="158" t="s">
        <v>88</v>
      </c>
      <c r="D26" s="158" t="s">
        <v>40</v>
      </c>
      <c r="E26" s="158" t="s">
        <v>83</v>
      </c>
      <c r="F26" s="158" t="str">
        <f>+VLOOKUP(A26,'Estado SCI'!$A$16:$I$59,9,0)</f>
        <v>Deficiencia de control</v>
      </c>
      <c r="G26" s="158">
        <f>+VLOOKUP(A26,'Estado SCI'!$A$16:$L$59,12,0)</f>
        <v>40.323999999999998</v>
      </c>
      <c r="H26" s="158">
        <f t="shared" si="0"/>
        <v>25</v>
      </c>
      <c r="I26" s="158" t="str">
        <f>+IF(VLOOKUP(A26,'Estado SCI'!$A$16:$G$59,7,0)="","",VLOOKUP(A26,'Estado SCI'!$A$16:$G$59,7,0))</f>
        <v>No</v>
      </c>
      <c r="J26" s="159">
        <f t="shared" si="2"/>
        <v>0</v>
      </c>
      <c r="K26" s="160">
        <f t="shared" si="1"/>
        <v>0.2</v>
      </c>
    </row>
    <row r="27" spans="1:11" ht="15.75" customHeight="1" x14ac:dyDescent="0.25">
      <c r="A27" s="158" t="s">
        <v>171</v>
      </c>
      <c r="B27" s="158" t="s">
        <v>79</v>
      </c>
      <c r="C27" s="158" t="s">
        <v>88</v>
      </c>
      <c r="D27" s="158" t="s">
        <v>42</v>
      </c>
      <c r="E27" s="158" t="s">
        <v>84</v>
      </c>
      <c r="F27" s="158" t="str">
        <f>+VLOOKUP(A27,'Estado SCI'!$A$16:$I$59,9,0)</f>
        <v>Deficiencia de control</v>
      </c>
      <c r="G27" s="158">
        <f>+VLOOKUP(A27,'Estado SCI'!$A$16:$L$59,12,0)</f>
        <v>40.325000000000003</v>
      </c>
      <c r="H27" s="158">
        <f t="shared" si="0"/>
        <v>26</v>
      </c>
      <c r="I27" s="158" t="str">
        <f>+IF(VLOOKUP(A27,'Estado SCI'!$A$16:$G$59,7,0)="","",VLOOKUP(A27,'Estado SCI'!$A$16:$G$59,7,0))</f>
        <v>No</v>
      </c>
      <c r="J27" s="159">
        <f t="shared" si="2"/>
        <v>0</v>
      </c>
      <c r="K27" s="160">
        <f t="shared" si="1"/>
        <v>0.2</v>
      </c>
    </row>
    <row r="28" spans="1:11" ht="15" customHeight="1" x14ac:dyDescent="0.25">
      <c r="A28" s="158" t="s">
        <v>172</v>
      </c>
      <c r="B28" s="158" t="s">
        <v>79</v>
      </c>
      <c r="C28" s="158" t="s">
        <v>98</v>
      </c>
      <c r="D28" s="158" t="s">
        <v>44</v>
      </c>
      <c r="E28" s="158" t="s">
        <v>85</v>
      </c>
      <c r="F28" s="158" t="str">
        <f>+VLOOKUP(A28,'Estado SCI'!$A$16:$I$59,9,0)</f>
        <v>Mantenimiento del control</v>
      </c>
      <c r="G28" s="158">
        <f>+VLOOKUP(A28,'Estado SCI'!$A$16:$L$59,12,0)</f>
        <v>60.326000000000001</v>
      </c>
      <c r="H28" s="158">
        <f t="shared" si="0"/>
        <v>27</v>
      </c>
      <c r="I28" s="158" t="str">
        <f>+IF(VLOOKUP(A28,'Estado SCI'!$A$16:$G$59,7,0)="","",VLOOKUP(A28,'Estado SCI'!$A$16:$G$59,7,0))</f>
        <v>Si</v>
      </c>
      <c r="J28" s="159">
        <f t="shared" si="2"/>
        <v>1</v>
      </c>
      <c r="K28" s="160">
        <f t="shared" si="1"/>
        <v>0.2</v>
      </c>
    </row>
    <row r="29" spans="1:11" ht="15" customHeight="1" x14ac:dyDescent="0.25">
      <c r="A29" s="158" t="s">
        <v>173</v>
      </c>
      <c r="B29" s="158" t="str">
        <f>+VLOOKUP(A29,'Estado SCI'!$A$16:$C$59,3,0)</f>
        <v>INFORMACION Y COMUNICACIÓN</v>
      </c>
      <c r="C29" s="158" t="s">
        <v>98</v>
      </c>
      <c r="D29" s="158" t="s">
        <v>34</v>
      </c>
      <c r="E29" s="158" t="s">
        <v>89</v>
      </c>
      <c r="F29" s="158" t="str">
        <f>+VLOOKUP(A29,'Estado SCI'!$A$16:$I$59,9,0)</f>
        <v>Mantenimiento del control</v>
      </c>
      <c r="G29" s="158">
        <f>+VLOOKUP(A29,'Estado SCI'!$A$16:$L$59,12,0)</f>
        <v>80.412000000000006</v>
      </c>
      <c r="H29" s="158">
        <f t="shared" si="0"/>
        <v>30</v>
      </c>
      <c r="I29" s="158" t="str">
        <f>+IF(VLOOKUP(A29,'Estado SCI'!$A$16:$G$59,7,0)="","",VLOOKUP(A29,'Estado SCI'!$A$16:$G$59,7,0))</f>
        <v>Si</v>
      </c>
      <c r="J29" s="159">
        <f t="shared" si="2"/>
        <v>1</v>
      </c>
      <c r="K29" s="160">
        <f t="shared" si="1"/>
        <v>0.7142857142857143</v>
      </c>
    </row>
    <row r="30" spans="1:11" ht="15" customHeight="1" x14ac:dyDescent="0.25">
      <c r="A30" s="158" t="s">
        <v>174</v>
      </c>
      <c r="B30" s="158" t="s">
        <v>87</v>
      </c>
      <c r="C30" s="158" t="s">
        <v>98</v>
      </c>
      <c r="D30" s="158" t="s">
        <v>37</v>
      </c>
      <c r="E30" s="158" t="s">
        <v>90</v>
      </c>
      <c r="F30" s="158" t="str">
        <f>+VLOOKUP(A30,'Estado SCI'!$A$16:$I$59,9,0)</f>
        <v>Mantenimiento del control</v>
      </c>
      <c r="G30" s="158">
        <f>+VLOOKUP(A30,'Estado SCI'!$A$16:$L$59,12,0)</f>
        <v>80.412300000000002</v>
      </c>
      <c r="H30" s="158">
        <f t="shared" si="0"/>
        <v>31</v>
      </c>
      <c r="I30" s="158" t="str">
        <f>+IF(VLOOKUP(A30,'Estado SCI'!$A$16:$G$59,7,0)="","",VLOOKUP(A30,'Estado SCI'!$A$16:$G$59,7,0))</f>
        <v>Si</v>
      </c>
      <c r="J30" s="159">
        <f t="shared" si="2"/>
        <v>1</v>
      </c>
      <c r="K30" s="160">
        <f t="shared" si="1"/>
        <v>0.7142857142857143</v>
      </c>
    </row>
    <row r="31" spans="1:11" ht="15.75" customHeight="1" x14ac:dyDescent="0.25">
      <c r="A31" s="158" t="s">
        <v>175</v>
      </c>
      <c r="B31" s="158" t="s">
        <v>87</v>
      </c>
      <c r="C31" s="158" t="s">
        <v>98</v>
      </c>
      <c r="D31" s="158" t="s">
        <v>40</v>
      </c>
      <c r="E31" s="158" t="s">
        <v>91</v>
      </c>
      <c r="F31" s="158" t="str">
        <f>+VLOOKUP(A31,'Estado SCI'!$A$16:$I$59,9,0)</f>
        <v>Mantenimiento del control</v>
      </c>
      <c r="G31" s="158">
        <f>+VLOOKUP(A31,'Estado SCI'!$A$16:$L$59,12,0)</f>
        <v>80.41234</v>
      </c>
      <c r="H31" s="158">
        <f t="shared" si="0"/>
        <v>32</v>
      </c>
      <c r="I31" s="158" t="str">
        <f>+IF(VLOOKUP(A31,'Estado SCI'!$A$16:$G$59,7,0)="","",VLOOKUP(A31,'Estado SCI'!$A$16:$G$59,7,0))</f>
        <v>Si</v>
      </c>
      <c r="J31" s="159">
        <f t="shared" si="2"/>
        <v>1</v>
      </c>
      <c r="K31" s="160">
        <f t="shared" si="1"/>
        <v>0.7142857142857143</v>
      </c>
    </row>
    <row r="32" spans="1:11" x14ac:dyDescent="0.25">
      <c r="A32" s="158" t="s">
        <v>176</v>
      </c>
      <c r="B32" s="158" t="s">
        <v>87</v>
      </c>
      <c r="C32" s="158" t="s">
        <v>104</v>
      </c>
      <c r="D32" s="158" t="s">
        <v>42</v>
      </c>
      <c r="E32" s="158" t="s">
        <v>92</v>
      </c>
      <c r="F32" s="158" t="str">
        <f>+VLOOKUP(A32,'Estado SCI'!$A$16:$I$59,9,0)</f>
        <v>Deficiencia de control</v>
      </c>
      <c r="G32" s="158">
        <f>+VLOOKUP(A32,'Estado SCI'!$A$16:$L$59,12,0)</f>
        <v>60.412345000000002</v>
      </c>
      <c r="H32" s="158">
        <f t="shared" si="0"/>
        <v>28</v>
      </c>
      <c r="I32" s="158" t="str">
        <f>+IF(VLOOKUP(A32,'Estado SCI'!$A$16:$G$59,7,0)="","",VLOOKUP(A32,'Estado SCI'!$A$16:$G$59,7,0))</f>
        <v>No</v>
      </c>
      <c r="J32" s="159">
        <f t="shared" si="2"/>
        <v>0</v>
      </c>
      <c r="K32" s="160">
        <f t="shared" si="1"/>
        <v>0.7142857142857143</v>
      </c>
    </row>
    <row r="33" spans="1:11" x14ac:dyDescent="0.25">
      <c r="A33" s="158" t="s">
        <v>177</v>
      </c>
      <c r="B33" s="158" t="s">
        <v>87</v>
      </c>
      <c r="C33" s="158" t="s">
        <v>178</v>
      </c>
      <c r="D33" s="158" t="s">
        <v>44</v>
      </c>
      <c r="E33" s="158" t="s">
        <v>93</v>
      </c>
      <c r="F33" s="158" t="str">
        <f>+VLOOKUP(A33,'Estado SCI'!$A$16:$I$59,9,0)</f>
        <v>Deficiencia de control</v>
      </c>
      <c r="G33" s="158">
        <f>+VLOOKUP(A33,'Estado SCI'!$A$16:$L$59,12,0)</f>
        <v>60.412345600000002</v>
      </c>
      <c r="H33" s="158">
        <f t="shared" si="0"/>
        <v>29</v>
      </c>
      <c r="I33" s="158" t="str">
        <f>+IF(VLOOKUP(A33,'Estado SCI'!$A$16:$G$59,7,0)="","",VLOOKUP(A33,'Estado SCI'!$A$16:$G$59,7,0))</f>
        <v>No</v>
      </c>
      <c r="J33" s="159">
        <f t="shared" si="2"/>
        <v>0</v>
      </c>
      <c r="K33" s="160">
        <f t="shared" si="1"/>
        <v>0.7142857142857143</v>
      </c>
    </row>
    <row r="34" spans="1:11" x14ac:dyDescent="0.25">
      <c r="A34" s="158" t="s">
        <v>179</v>
      </c>
      <c r="B34" s="158" t="s">
        <v>87</v>
      </c>
      <c r="C34" s="158" t="s">
        <v>178</v>
      </c>
      <c r="D34" s="158" t="s">
        <v>46</v>
      </c>
      <c r="E34" s="158" t="s">
        <v>94</v>
      </c>
      <c r="F34" s="158" t="str">
        <f>+VLOOKUP(A34,'Estado SCI'!$A$16:$I$59,9,0)</f>
        <v>Mantenimiento del control</v>
      </c>
      <c r="G34" s="158">
        <f>+VLOOKUP(A34,'Estado SCI'!$A$16:$L$59,12,0)</f>
        <v>80.412345669999993</v>
      </c>
      <c r="H34" s="158">
        <f t="shared" si="0"/>
        <v>33</v>
      </c>
      <c r="I34" s="158" t="str">
        <f>+IF(VLOOKUP(A34,'Estado SCI'!$A$16:$G$59,7,0)="","",VLOOKUP(A34,'Estado SCI'!$A$16:$G$59,7,0))</f>
        <v>Si</v>
      </c>
      <c r="J34" s="159">
        <f t="shared" si="2"/>
        <v>1</v>
      </c>
      <c r="K34" s="160">
        <f t="shared" si="1"/>
        <v>0.7142857142857143</v>
      </c>
    </row>
    <row r="35" spans="1:11" x14ac:dyDescent="0.25">
      <c r="A35" s="158" t="s">
        <v>180</v>
      </c>
      <c r="B35" s="158" t="s">
        <v>87</v>
      </c>
      <c r="C35" s="158" t="s">
        <v>178</v>
      </c>
      <c r="D35" s="158" t="s">
        <v>48</v>
      </c>
      <c r="E35" s="158" t="s">
        <v>95</v>
      </c>
      <c r="F35" s="158" t="str">
        <f>+VLOOKUP(A35,'Estado SCI'!$A$16:$I$59,9,0)</f>
        <v>Mantenimiento del control</v>
      </c>
      <c r="G35" s="158">
        <f>+VLOOKUP(A35,'Estado SCI'!$A$16:$L$59,12,0)</f>
        <v>80.412345677999994</v>
      </c>
      <c r="H35" s="158">
        <f t="shared" si="0"/>
        <v>34</v>
      </c>
      <c r="I35" s="158" t="str">
        <f>+IF(VLOOKUP(A35,'Estado SCI'!$A$16:$G$59,7,0)="","",VLOOKUP(A35,'Estado SCI'!$A$16:$G$59,7,0))</f>
        <v>Si</v>
      </c>
      <c r="J35" s="159">
        <f t="shared" si="2"/>
        <v>1</v>
      </c>
      <c r="K35" s="160">
        <f t="shared" si="1"/>
        <v>0.7142857142857143</v>
      </c>
    </row>
    <row r="36" spans="1:11" x14ac:dyDescent="0.25">
      <c r="A36" s="158" t="s">
        <v>181</v>
      </c>
      <c r="B36" s="158" t="str">
        <f>+VLOOKUP(A36,'Estado SCI'!$A$16:$C$59,3,0)</f>
        <v>ACTIVIDADES DE MONITOREO</v>
      </c>
      <c r="C36" s="158" t="s">
        <v>178</v>
      </c>
      <c r="D36" s="158" t="s">
        <v>34</v>
      </c>
      <c r="E36" s="158" t="s">
        <v>99</v>
      </c>
      <c r="F36" s="158" t="str">
        <f>+VLOOKUP(A36,'Estado SCI'!$A$16:$I$59,9,0)</f>
        <v>Deficiencia de control</v>
      </c>
      <c r="G36" s="158">
        <f>+VLOOKUP(A36,'Estado SCI'!$A$16:$L$59,12,0)</f>
        <v>80.850999999999999</v>
      </c>
      <c r="H36" s="158">
        <f t="shared" si="0"/>
        <v>35</v>
      </c>
      <c r="I36" s="158" t="str">
        <f>+IF(VLOOKUP(A36,'Estado SCI'!$A$16:$G$59,7,0)="","",VLOOKUP(A36,'Estado SCI'!$A$16:$G$59,7,0))</f>
        <v>No</v>
      </c>
      <c r="J36" s="159">
        <f t="shared" si="2"/>
        <v>0</v>
      </c>
      <c r="K36" s="160">
        <f t="shared" si="1"/>
        <v>0.3</v>
      </c>
    </row>
    <row r="37" spans="1:11" x14ac:dyDescent="0.25">
      <c r="A37" s="158" t="s">
        <v>182</v>
      </c>
      <c r="B37" s="158" t="s">
        <v>97</v>
      </c>
      <c r="C37" s="158" t="s">
        <v>178</v>
      </c>
      <c r="D37" s="158" t="s">
        <v>42</v>
      </c>
      <c r="E37" s="158" t="s">
        <v>100</v>
      </c>
      <c r="F37" s="158" t="str">
        <f>+VLOOKUP(A37,'Estado SCI'!$A$16:$I$59,9,0)</f>
        <v>Mantenimiento del control</v>
      </c>
      <c r="G37" s="158">
        <f>+VLOOKUP(A37,'Estado SCI'!$A$16:$L$59,12,0)</f>
        <v>120.85120000000001</v>
      </c>
      <c r="H37" s="158">
        <f t="shared" si="0"/>
        <v>44</v>
      </c>
      <c r="I37" s="158" t="str">
        <f>+IF(VLOOKUP(A37,'Estado SCI'!$A$16:$G$59,7,0)="","",VLOOKUP(A37,'Estado SCI'!$A$16:$G$59,7,0))</f>
        <v>Si</v>
      </c>
      <c r="J37" s="159">
        <f t="shared" si="2"/>
        <v>1</v>
      </c>
      <c r="K37" s="160">
        <f t="shared" si="1"/>
        <v>0.3</v>
      </c>
    </row>
    <row r="38" spans="1:11" x14ac:dyDescent="0.25">
      <c r="A38" s="158" t="s">
        <v>183</v>
      </c>
      <c r="B38" s="158" t="s">
        <v>97</v>
      </c>
      <c r="C38" s="158" t="s">
        <v>68</v>
      </c>
      <c r="D38" s="158" t="s">
        <v>46</v>
      </c>
      <c r="E38" s="158" t="s">
        <v>101</v>
      </c>
      <c r="F38" s="158" t="str">
        <f>+VLOOKUP(A38,'Estado SCI'!$A$16:$I$59,9,0)</f>
        <v>Deficiencia de control</v>
      </c>
      <c r="G38" s="158">
        <f>+VLOOKUP(A38,'Estado SCI'!$A$16:$L$59,12,0)</f>
        <v>80.851230000000001</v>
      </c>
      <c r="H38" s="158">
        <f t="shared" si="0"/>
        <v>36</v>
      </c>
      <c r="I38" s="158" t="str">
        <f>+IF(VLOOKUP(A38,'Estado SCI'!$A$16:$G$59,7,0)="","",VLOOKUP(A38,'Estado SCI'!$A$16:$G$59,7,0))</f>
        <v>No</v>
      </c>
      <c r="J38" s="159">
        <f t="shared" si="2"/>
        <v>0</v>
      </c>
      <c r="K38" s="160">
        <f t="shared" si="1"/>
        <v>0.3</v>
      </c>
    </row>
    <row r="39" spans="1:11" x14ac:dyDescent="0.25">
      <c r="A39" s="158" t="s">
        <v>184</v>
      </c>
      <c r="B39" s="158" t="s">
        <v>97</v>
      </c>
      <c r="C39" s="158" t="s">
        <v>68</v>
      </c>
      <c r="D39" s="158" t="s">
        <v>48</v>
      </c>
      <c r="E39" s="158" t="s">
        <v>102</v>
      </c>
      <c r="F39" s="158" t="str">
        <f>+VLOOKUP(A39,'Estado SCI'!$A$16:$I$59,9,0)</f>
        <v>Oportunidad de mejora</v>
      </c>
      <c r="G39" s="158">
        <f>+VLOOKUP(A39,'Estado SCI'!$A$16:$L$59,12,0)</f>
        <v>100.85123400000001</v>
      </c>
      <c r="H39" s="158">
        <f t="shared" si="0"/>
        <v>40</v>
      </c>
      <c r="I39" s="158" t="str">
        <f>+IF(VLOOKUP(A39,'Estado SCI'!$A$16:$G$59,7,0)="","",VLOOKUP(A39,'Estado SCI'!$A$16:$G$59,7,0))</f>
        <v>En proceso</v>
      </c>
      <c r="J39" s="159">
        <f t="shared" si="2"/>
        <v>0.5</v>
      </c>
      <c r="K39" s="160">
        <f t="shared" si="1"/>
        <v>0.3</v>
      </c>
    </row>
    <row r="40" spans="1:11" x14ac:dyDescent="0.25">
      <c r="A40" s="158" t="s">
        <v>185</v>
      </c>
      <c r="B40" s="158" t="s">
        <v>97</v>
      </c>
      <c r="C40" s="158" t="s">
        <v>68</v>
      </c>
      <c r="D40" s="158" t="s">
        <v>50</v>
      </c>
      <c r="E40" s="158" t="s">
        <v>105</v>
      </c>
      <c r="F40" s="158" t="str">
        <f>+VLOOKUP(A40,'Estado SCI'!$A$16:$I$59,9,0)</f>
        <v>Deficiencia de control</v>
      </c>
      <c r="G40" s="158">
        <f>+VLOOKUP(A40,'Estado SCI'!$A$16:$L$59,12,0)</f>
        <v>80.851234500000004</v>
      </c>
      <c r="H40" s="158">
        <f t="shared" si="0"/>
        <v>37</v>
      </c>
      <c r="I40" s="158" t="str">
        <f>+IF(VLOOKUP(A40,'Estado SCI'!$A$16:$G$59,7,0)="","",VLOOKUP(A40,'Estado SCI'!$A$16:$G$59,7,0))</f>
        <v>No</v>
      </c>
      <c r="J40" s="159">
        <f t="shared" si="2"/>
        <v>0</v>
      </c>
      <c r="K40" s="160">
        <f t="shared" si="1"/>
        <v>0.3</v>
      </c>
    </row>
    <row r="41" spans="1:11" x14ac:dyDescent="0.25">
      <c r="A41" s="158" t="s">
        <v>186</v>
      </c>
      <c r="B41" s="158" t="s">
        <v>97</v>
      </c>
      <c r="C41" s="158" t="s">
        <v>68</v>
      </c>
      <c r="D41" s="158" t="s">
        <v>34</v>
      </c>
      <c r="E41" s="158" t="s">
        <v>108</v>
      </c>
      <c r="F41" s="158" t="str">
        <f>+VLOOKUP(A41,'Estado SCI'!$A$16:$I$59,9,0)</f>
        <v>Oportunidad de mejora</v>
      </c>
      <c r="G41" s="158">
        <f>+VLOOKUP(A41,'Estado SCI'!$A$16:$L$59,12,0)</f>
        <v>100.85123455999999</v>
      </c>
      <c r="H41" s="158">
        <f t="shared" si="0"/>
        <v>41</v>
      </c>
      <c r="I41" s="158" t="str">
        <f>+IF(VLOOKUP(A41,'Estado SCI'!$A$16:$G$59,7,0)="","",VLOOKUP(A41,'Estado SCI'!$A$16:$G$59,7,0))</f>
        <v>En proceso</v>
      </c>
      <c r="J41" s="159">
        <f t="shared" si="2"/>
        <v>0.5</v>
      </c>
      <c r="K41" s="160">
        <f t="shared" si="1"/>
        <v>0.3</v>
      </c>
    </row>
    <row r="42" spans="1:11" x14ac:dyDescent="0.25">
      <c r="A42" s="158" t="s">
        <v>187</v>
      </c>
      <c r="B42" s="158" t="s">
        <v>97</v>
      </c>
      <c r="C42" s="158" t="s">
        <v>73</v>
      </c>
      <c r="D42" s="158" t="s">
        <v>37</v>
      </c>
      <c r="E42" s="158" t="s">
        <v>109</v>
      </c>
      <c r="F42" s="158" t="str">
        <f>+VLOOKUP(A42,'Estado SCI'!$A$16:$I$59,9,0)</f>
        <v>Oportunidad de mejora</v>
      </c>
      <c r="G42" s="158">
        <f>+VLOOKUP(A42,'Estado SCI'!$A$16:$L$59,12,0)</f>
        <v>100.85123456700001</v>
      </c>
      <c r="H42" s="158">
        <f t="shared" si="0"/>
        <v>42</v>
      </c>
      <c r="I42" s="158" t="str">
        <f>+IF(VLOOKUP(A42,'Estado SCI'!$A$16:$G$59,7,0)="","",VLOOKUP(A42,'Estado SCI'!$A$16:$G$59,7,0))</f>
        <v>En proceso</v>
      </c>
      <c r="J42" s="159">
        <f t="shared" si="2"/>
        <v>0.5</v>
      </c>
      <c r="K42" s="160">
        <f t="shared" si="1"/>
        <v>0.3</v>
      </c>
    </row>
    <row r="43" spans="1:11" x14ac:dyDescent="0.25">
      <c r="A43" s="158" t="s">
        <v>188</v>
      </c>
      <c r="B43" s="158" t="s">
        <v>97</v>
      </c>
      <c r="C43" s="158" t="s">
        <v>73</v>
      </c>
      <c r="D43" s="158" t="s">
        <v>40</v>
      </c>
      <c r="E43" s="158" t="s">
        <v>110</v>
      </c>
      <c r="F43" s="158" t="str">
        <f>+VLOOKUP(A43,'Estado SCI'!$A$16:$I$59,9,0)</f>
        <v>Oportunidad de mejora</v>
      </c>
      <c r="G43" s="158">
        <f>+VLOOKUP(A43,'Estado SCI'!$A$16:$L$59,12,0)</f>
        <v>100.85123456780001</v>
      </c>
      <c r="H43" s="158">
        <f t="shared" si="0"/>
        <v>43</v>
      </c>
      <c r="I43" s="158" t="str">
        <f>+IF(VLOOKUP(A43,'Estado SCI'!$A$16:$G$59,7,0)="","",VLOOKUP(A43,'Estado SCI'!$A$16:$G$59,7,0))</f>
        <v>En proceso</v>
      </c>
      <c r="J43" s="159">
        <f t="shared" si="2"/>
        <v>0.5</v>
      </c>
      <c r="K43" s="160">
        <f t="shared" si="1"/>
        <v>0.3</v>
      </c>
    </row>
    <row r="44" spans="1:11" x14ac:dyDescent="0.25">
      <c r="A44" s="158" t="s">
        <v>189</v>
      </c>
      <c r="B44" s="158" t="s">
        <v>97</v>
      </c>
      <c r="C44" s="158" t="s">
        <v>73</v>
      </c>
      <c r="D44" s="158" t="s">
        <v>42</v>
      </c>
      <c r="E44" s="158" t="s">
        <v>111</v>
      </c>
      <c r="F44" s="158" t="str">
        <f>+VLOOKUP(A44,'Estado SCI'!$A$16:$I$59,9,0)</f>
        <v>Deficiencia de control</v>
      </c>
      <c r="G44" s="158">
        <f>+VLOOKUP(A44,'Estado SCI'!$A$16:$L$59,12,0)</f>
        <v>80.851234567890003</v>
      </c>
      <c r="H44" s="158">
        <f t="shared" si="0"/>
        <v>38</v>
      </c>
      <c r="I44" s="158" t="str">
        <f>+IF(VLOOKUP(A44,'Estado SCI'!$A$16:$G$59,7,0)="","",VLOOKUP(A44,'Estado SCI'!$A$16:$G$59,7,0))</f>
        <v>No</v>
      </c>
      <c r="J44" s="159">
        <f t="shared" si="2"/>
        <v>0</v>
      </c>
      <c r="K44" s="160">
        <f t="shared" si="1"/>
        <v>0.3</v>
      </c>
    </row>
    <row r="45" spans="1:11" x14ac:dyDescent="0.25">
      <c r="A45" s="158" t="s">
        <v>190</v>
      </c>
      <c r="B45" s="158" t="s">
        <v>97</v>
      </c>
      <c r="C45" s="158" t="s">
        <v>73</v>
      </c>
      <c r="D45" s="158" t="s">
        <v>44</v>
      </c>
      <c r="E45" s="158" t="s">
        <v>112</v>
      </c>
      <c r="F45" s="158" t="str">
        <f>+VLOOKUP(A45,'Estado SCI'!$A$16:$I$59,9,0)</f>
        <v>Deficiencia de control</v>
      </c>
      <c r="G45" s="158">
        <f>+VLOOKUP(A45,'Estado SCI'!$A$16:$L$59,12,0)</f>
        <v>80.851234567890998</v>
      </c>
      <c r="H45" s="158">
        <f t="shared" si="0"/>
        <v>39</v>
      </c>
      <c r="I45" s="158" t="str">
        <f>+IF(VLOOKUP(A45,'Estado SCI'!$A$16:$G$59,7,0)="","",VLOOKUP(A45,'Estado SCI'!$A$16:$G$59,7,0))</f>
        <v>No</v>
      </c>
      <c r="J45" s="159">
        <f t="shared" si="2"/>
        <v>0</v>
      </c>
      <c r="K45" s="160">
        <f t="shared" si="1"/>
        <v>0.3</v>
      </c>
    </row>
  </sheetData>
  <sheetProtection algorithmName="SHA-512" hashValue="eXgkKlTi9xJKAI7t6Aeb2RaFpkfyF43pI2BIhtxDc7hsl0SqLK8I4Wc7jbZwC5kw3uyIHOBIUXRnh5cC70LKYA==" saltValue="AxKzX6Ar80vT7acQV8rFpQ==" spinCount="100000" sheet="1" objects="1" scenarios="1" selectLockedCells="1"/>
  <autoFilter ref="A1:K45"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Usuario</cp:lastModifiedBy>
  <cp:revision/>
  <dcterms:created xsi:type="dcterms:W3CDTF">2020-04-28T13:58:09Z</dcterms:created>
  <dcterms:modified xsi:type="dcterms:W3CDTF">2021-01-29T13:52:14Z</dcterms:modified>
  <cp:category/>
  <cp:contentStatus/>
</cp:coreProperties>
</file>